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95" windowHeight="6600" activeTab="0"/>
  </bookViews>
  <sheets>
    <sheet name="gf &amp; grants summary" sheetId="1" r:id="rId1"/>
    <sheet name="gf &amp; grants detail" sheetId="2" r:id="rId2"/>
    <sheet name="ftesgoals" sheetId="3" r:id="rId3"/>
    <sheet name="college gf" sheetId="4" r:id="rId4"/>
    <sheet name="gf detail" sheetId="5" r:id="rId5"/>
    <sheet name="grants detail" sheetId="6" r:id="rId6"/>
    <sheet name="c-hrly budget calculator" sheetId="7" r:id="rId7"/>
    <sheet name="productivity data" sheetId="8" r:id="rId8"/>
  </sheets>
  <externalReferences>
    <externalReference r:id="rId11"/>
  </externalReferences>
  <definedNames>
    <definedName name="_xlnm.Print_Area" localSheetId="3">'college gf'!$A$1:$C$39</definedName>
    <definedName name="_xlnm.Print_Area" localSheetId="1">'gf &amp; grants detail'!$A$1:$F$44</definedName>
    <definedName name="_xlnm.Print_Area" localSheetId="0">'gf &amp; grants summary'!$A$1:$C$46</definedName>
    <definedName name="_xlnm.Print_Area" localSheetId="4">'gf detail'!$A$1:$D$41</definedName>
  </definedNames>
  <calcPr fullCalcOnLoad="1"/>
</workbook>
</file>

<file path=xl/comments8.xml><?xml version="1.0" encoding="utf-8"?>
<comments xmlns="http://schemas.openxmlformats.org/spreadsheetml/2006/main">
  <authors>
    <author>Jonah Nicholas</author>
  </authors>
  <commentList>
    <comment ref="O7" authorId="0">
      <text>
        <r>
          <rPr>
            <b/>
            <sz val="9"/>
            <rFont val="Tahoma"/>
            <family val="2"/>
          </rPr>
          <t>Jonah Nicholas:</t>
        </r>
        <r>
          <rPr>
            <sz val="9"/>
            <rFont val="Tahoma"/>
            <family val="2"/>
          </rPr>
          <t xml:space="preserve">
As of 1/14/20, no Spring 2020 data</t>
        </r>
      </text>
    </comment>
    <comment ref="O12" authorId="0">
      <text>
        <r>
          <rPr>
            <b/>
            <sz val="9"/>
            <rFont val="Tahoma"/>
            <family val="2"/>
          </rPr>
          <t>Jonah Nicholas:</t>
        </r>
        <r>
          <rPr>
            <sz val="9"/>
            <rFont val="Tahoma"/>
            <family val="2"/>
          </rPr>
          <t xml:space="preserve">
As of 1/14/20, no Spring 2020 data</t>
        </r>
      </text>
    </comment>
    <comment ref="O17" authorId="0">
      <text>
        <r>
          <rPr>
            <b/>
            <sz val="9"/>
            <rFont val="Tahoma"/>
            <family val="2"/>
          </rPr>
          <t>Jonah Nicholas:</t>
        </r>
        <r>
          <rPr>
            <sz val="9"/>
            <rFont val="Tahoma"/>
            <family val="2"/>
          </rPr>
          <t xml:space="preserve">
As of 1/14/20, no Spring 2020 data</t>
        </r>
      </text>
    </comment>
    <comment ref="O22" authorId="0">
      <text>
        <r>
          <rPr>
            <b/>
            <sz val="9"/>
            <rFont val="Tahoma"/>
            <family val="2"/>
          </rPr>
          <t>Jonah Nicholas:</t>
        </r>
        <r>
          <rPr>
            <sz val="9"/>
            <rFont val="Tahoma"/>
            <family val="2"/>
          </rPr>
          <t xml:space="preserve">
As of 1/14/20, no Spring 2020 data</t>
        </r>
      </text>
    </comment>
    <comment ref="O29" authorId="0">
      <text>
        <r>
          <rPr>
            <b/>
            <sz val="9"/>
            <rFont val="Tahoma"/>
            <family val="2"/>
          </rPr>
          <t>Jonah Nicholas:</t>
        </r>
        <r>
          <rPr>
            <sz val="9"/>
            <rFont val="Tahoma"/>
            <family val="2"/>
          </rPr>
          <t xml:space="preserve">
As of 1/14/20</t>
        </r>
      </text>
    </comment>
  </commentList>
</comments>
</file>

<file path=xl/sharedStrings.xml><?xml version="1.0" encoding="utf-8"?>
<sst xmlns="http://schemas.openxmlformats.org/spreadsheetml/2006/main" count="330" uniqueCount="190">
  <si>
    <t>CCC</t>
  </si>
  <si>
    <t>DVC</t>
  </si>
  <si>
    <t>LMC</t>
  </si>
  <si>
    <t>Resident</t>
  </si>
  <si>
    <t>Non-Resident</t>
  </si>
  <si>
    <t>Total</t>
  </si>
  <si>
    <t>District Total</t>
  </si>
  <si>
    <t>Beginning Fund Balance</t>
  </si>
  <si>
    <t>Ending Fund Balance</t>
  </si>
  <si>
    <t>Contra Costa Community College District</t>
  </si>
  <si>
    <t>Contra Costa College</t>
  </si>
  <si>
    <t>Description</t>
  </si>
  <si>
    <t>Total Expenditures</t>
  </si>
  <si>
    <t>Components of Ending Fund Balance</t>
  </si>
  <si>
    <t xml:space="preserve">     Deficit Funding Reserve</t>
  </si>
  <si>
    <t xml:space="preserve">     Total Designated Reserves</t>
  </si>
  <si>
    <t>Total Undesignated Reserves</t>
  </si>
  <si>
    <t>General Operating Fund Budget</t>
  </si>
  <si>
    <t>Funded</t>
  </si>
  <si>
    <t>Unfunded</t>
  </si>
  <si>
    <t>Total revenues</t>
  </si>
  <si>
    <t xml:space="preserve">     Required 1% college reserve</t>
  </si>
  <si>
    <t xml:space="preserve">     College-wide contingencies</t>
  </si>
  <si>
    <t xml:space="preserve">Note: </t>
  </si>
  <si>
    <t>Banked load liability</t>
  </si>
  <si>
    <t>Vacation liability</t>
  </si>
  <si>
    <t>Amount</t>
  </si>
  <si>
    <t>General Operating Fund</t>
  </si>
  <si>
    <t>Categorical Funds (Entitlements)</t>
  </si>
  <si>
    <t>Grants (Competitive)</t>
  </si>
  <si>
    <t xml:space="preserve">     Academic Salaries</t>
  </si>
  <si>
    <t xml:space="preserve">     Classified Salaries</t>
  </si>
  <si>
    <t xml:space="preserve">     Benefits</t>
  </si>
  <si>
    <t xml:space="preserve">          Total Salaries and Benefits</t>
  </si>
  <si>
    <t xml:space="preserve">     Supplies and Materials</t>
  </si>
  <si>
    <t xml:space="preserve">     Other Operating Expenses</t>
  </si>
  <si>
    <t xml:space="preserve">     Capital Outlay</t>
  </si>
  <si>
    <t>Grants</t>
  </si>
  <si>
    <t>Expenditures</t>
  </si>
  <si>
    <t xml:space="preserve">     Other Outgoing</t>
  </si>
  <si>
    <t>%</t>
  </si>
  <si>
    <t xml:space="preserve">          Full time Faculty</t>
  </si>
  <si>
    <t xml:space="preserve">          Part time Faculty</t>
  </si>
  <si>
    <t xml:space="preserve">          Academic Managers</t>
  </si>
  <si>
    <t xml:space="preserve">               Total Academic Salaries</t>
  </si>
  <si>
    <t xml:space="preserve">          Full time Classified</t>
  </si>
  <si>
    <t xml:space="preserve">          Classified Managers</t>
  </si>
  <si>
    <t xml:space="preserve">          Hourly, students, other</t>
  </si>
  <si>
    <t xml:space="preserve">               Total Classified Salaries</t>
  </si>
  <si>
    <t>General Fund</t>
  </si>
  <si>
    <t>Categoricals &amp; Grants</t>
  </si>
  <si>
    <t>Part time Faculty</t>
  </si>
  <si>
    <t>Academic Managers</t>
  </si>
  <si>
    <t xml:space="preserve">     Total Academic Salaries</t>
  </si>
  <si>
    <t>Classified Managers</t>
  </si>
  <si>
    <t>Hourly, students, other</t>
  </si>
  <si>
    <t xml:space="preserve">     Total Classified Salaries</t>
  </si>
  <si>
    <t xml:space="preserve">     Total Salaries and Benefits</t>
  </si>
  <si>
    <t xml:space="preserve">     Total Expenses</t>
  </si>
  <si>
    <t>Benefits</t>
  </si>
  <si>
    <t>Supplies and Materials</t>
  </si>
  <si>
    <t>Other Operating Expenses</t>
  </si>
  <si>
    <t>Capital Outlay</t>
  </si>
  <si>
    <t>Other Outgoing</t>
  </si>
  <si>
    <t>Page 1</t>
  </si>
  <si>
    <t xml:space="preserve">Page 2 </t>
  </si>
  <si>
    <t>General Operating and Categorical Funds</t>
  </si>
  <si>
    <t xml:space="preserve">Page 3 </t>
  </si>
  <si>
    <t>Total Surplus</t>
  </si>
  <si>
    <t>Page 4</t>
  </si>
  <si>
    <t>Page 5</t>
  </si>
  <si>
    <t>Actual Expenditures 2019-2020</t>
  </si>
  <si>
    <t>2020-2021 FTES Goals</t>
  </si>
  <si>
    <t>2020-2021</t>
  </si>
  <si>
    <t>Full time Faculty</t>
  </si>
  <si>
    <t>Full time Classified</t>
  </si>
  <si>
    <r>
      <t xml:space="preserve">Total Surplus </t>
    </r>
    <r>
      <rPr>
        <sz val="16"/>
        <color indexed="10"/>
        <rFont val="Calibri"/>
        <family val="2"/>
      </rPr>
      <t>(Deficit)</t>
    </r>
  </si>
  <si>
    <t>C-hourly Budget Calculator</t>
  </si>
  <si>
    <t>FTES Goal</t>
  </si>
  <si>
    <t>Projected productivity</t>
  </si>
  <si>
    <t>FTEF required to produce FTES goal</t>
  </si>
  <si>
    <t>Less: FT Instructional "A" load</t>
  </si>
  <si>
    <t>***</t>
  </si>
  <si>
    <t>C-hourly FTE required</t>
  </si>
  <si>
    <t>C-hourly payroll hours</t>
  </si>
  <si>
    <t>C-hourly rate</t>
  </si>
  <si>
    <t>C-hourly budgeted amount</t>
  </si>
  <si>
    <t>Incremental budget amount</t>
  </si>
  <si>
    <t>*** - A-load from tentative budget</t>
  </si>
  <si>
    <t xml:space="preserve">           Less: Vacant positions (teaching)</t>
  </si>
  <si>
    <t>C-hrly backfill will come from the salary savings</t>
  </si>
  <si>
    <t>Productivity Data</t>
  </si>
  <si>
    <t>FY 07-08</t>
  </si>
  <si>
    <t>FY 08-09</t>
  </si>
  <si>
    <t>FY 09-10</t>
  </si>
  <si>
    <t>FY 10-11</t>
  </si>
  <si>
    <t>FY 11-12</t>
  </si>
  <si>
    <t>FY 12-13</t>
  </si>
  <si>
    <t>FY 13-14</t>
  </si>
  <si>
    <t>FY 14-15</t>
  </si>
  <si>
    <t>FY 15-16</t>
  </si>
  <si>
    <t>FY 16-17</t>
  </si>
  <si>
    <t>FY 17-18</t>
  </si>
  <si>
    <t>FY 18-19</t>
  </si>
  <si>
    <t>FY 19-20</t>
  </si>
  <si>
    <t>FTES</t>
  </si>
  <si>
    <t>FTEF</t>
  </si>
  <si>
    <t>Productivity</t>
  </si>
  <si>
    <t>Nonresident FTES</t>
  </si>
  <si>
    <t>FTES/FTEF (semester)</t>
  </si>
  <si>
    <t>FTEF Needed (annual)</t>
  </si>
  <si>
    <t>Cost Per FTEF*</t>
  </si>
  <si>
    <t>Total Cost of Instruction</t>
  </si>
  <si>
    <t>*Based on each year's Full-Time/Part-Time Mix (approx. 50/50 each year)</t>
  </si>
  <si>
    <t>District</t>
  </si>
  <si>
    <t>Productivity Ratio (FTES/FTEF) History</t>
  </si>
  <si>
    <t>District Productivity Ratio (FTES/FTEF)</t>
  </si>
  <si>
    <t>Contra Costa County</t>
  </si>
  <si>
    <t>Unemployment Rate</t>
  </si>
  <si>
    <t xml:space="preserve"> 07-08</t>
  </si>
  <si>
    <t xml:space="preserve"> 08-09</t>
  </si>
  <si>
    <t xml:space="preserve"> 09-10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</si>
  <si>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</si>
  <si>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</si>
  <si>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</si>
  <si>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</si>
  <si>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</si>
  <si>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</si>
  <si>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</si>
  <si>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</si>
  <si>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</si>
  <si>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>19-20</t>
  </si>
  <si>
    <t>Contra Costa County Unemployment Rate</t>
  </si>
  <si>
    <t>Categorical Programs FY2020 as of Sept. 1, 2020</t>
  </si>
  <si>
    <t>Competitive</t>
  </si>
  <si>
    <t>Entitlement</t>
  </si>
  <si>
    <t>Budget</t>
  </si>
  <si>
    <t>Actual</t>
  </si>
  <si>
    <t>FT Faculty</t>
  </si>
  <si>
    <t>PT Faculty</t>
  </si>
  <si>
    <t>Academic Salaries</t>
  </si>
  <si>
    <t>FT Classified</t>
  </si>
  <si>
    <t>Classified Salaries</t>
  </si>
  <si>
    <t>Supplies</t>
  </si>
  <si>
    <t>TOTAL</t>
  </si>
  <si>
    <t>Guided Pathways</t>
  </si>
  <si>
    <t>CARES Act</t>
  </si>
  <si>
    <t>HSI STEM</t>
  </si>
  <si>
    <t>Financial Aid Technology</t>
  </si>
  <si>
    <t>Open Education Resource (OER)</t>
  </si>
  <si>
    <t>Veterams Services (ongoing)</t>
  </si>
  <si>
    <t>College Skills Center</t>
  </si>
  <si>
    <t>Hunger Free Campus</t>
  </si>
  <si>
    <t>CVC - OEI</t>
  </si>
  <si>
    <t>Mental Health Support</t>
  </si>
  <si>
    <t>NSF Scholarships for Excellence</t>
  </si>
  <si>
    <t>College Promise</t>
  </si>
  <si>
    <t>Veteran Resouce Center (one time)</t>
  </si>
  <si>
    <t>AB602 Financial Aid</t>
  </si>
  <si>
    <t>Avenue E</t>
  </si>
  <si>
    <t>CTE Transitions</t>
  </si>
  <si>
    <t>AB19 Student Aid</t>
  </si>
  <si>
    <t>CTE Perkins</t>
  </si>
  <si>
    <t>IEPI</t>
  </si>
  <si>
    <t>EOPS/CARE</t>
  </si>
  <si>
    <t>CCAP STEM Pathways</t>
  </si>
  <si>
    <t>DSPS</t>
  </si>
  <si>
    <t>CAI (Apprenticeship)</t>
  </si>
  <si>
    <t>3SP</t>
  </si>
  <si>
    <t>AB 104 (18/19)</t>
  </si>
  <si>
    <t>TANF</t>
  </si>
  <si>
    <t>AB 104 (19/20)</t>
  </si>
  <si>
    <t>CalWorks</t>
  </si>
  <si>
    <t>Psychosocial Grant</t>
  </si>
  <si>
    <t>Basic Skills</t>
  </si>
  <si>
    <t>Music Events</t>
  </si>
  <si>
    <t>Student Equity</t>
  </si>
  <si>
    <t>Puente Project</t>
  </si>
  <si>
    <t>Strong Workforce</t>
  </si>
  <si>
    <t>Gateway to College</t>
  </si>
  <si>
    <t>College Works Study</t>
  </si>
  <si>
    <t>Foster Pride Training</t>
  </si>
  <si>
    <t>Instructional Equipment</t>
  </si>
  <si>
    <t>Foster Relative Training</t>
  </si>
  <si>
    <t>Foster Parent Training</t>
  </si>
  <si>
    <t>Child Dev. Training Consortium</t>
  </si>
  <si>
    <t>MCHS SciMath</t>
  </si>
  <si>
    <t>First 5</t>
  </si>
  <si>
    <t>RN Enrollment Growth</t>
  </si>
  <si>
    <t>Rupe Nursing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</si>
</sst>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00"/>
    <numFmt numFmtId="167" formatCode="_(&quot;$&quot;* #,##0_);_(&quot;$&quot;* \(#,##0\);_(&quot;$&quot;* &quot;-&quot;??_);_(@_)"/>
    <numFmt numFmtId="16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43" fillId="0" borderId="0" xfId="0" applyNumberFormat="1" applyFont="1" applyAlignment="1">
      <alignment horizontal="centerContinuous"/>
    </xf>
    <xf numFmtId="3" fontId="4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" fontId="44" fillId="0" borderId="0" xfId="0" applyNumberFormat="1" applyFont="1" applyAlignment="1">
      <alignment horizontal="centerContinuous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0" fontId="45" fillId="0" borderId="0" xfId="0" applyFont="1" applyAlignment="1">
      <alignment horizontal="centerContinuous"/>
    </xf>
    <xf numFmtId="3" fontId="45" fillId="0" borderId="0" xfId="0" applyNumberFormat="1" applyFont="1" applyAlignment="1">
      <alignment horizontal="centerContinuous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8" fontId="45" fillId="0" borderId="10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 horizontal="center"/>
    </xf>
    <xf numFmtId="38" fontId="43" fillId="0" borderId="0" xfId="0" applyNumberFormat="1" applyFont="1" applyAlignment="1">
      <alignment/>
    </xf>
    <xf numFmtId="38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45" fillId="0" borderId="12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4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41" fillId="0" borderId="0" xfId="0" applyFont="1" applyAlignment="1">
      <alignment/>
    </xf>
    <xf numFmtId="167" fontId="41" fillId="0" borderId="0" xfId="44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41" fillId="0" borderId="0" xfId="42" applyFont="1" applyAlignment="1">
      <alignment/>
    </xf>
    <xf numFmtId="168" fontId="0" fillId="0" borderId="0" xfId="57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41" fontId="4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1" fontId="4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egorical%20budgetsFY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ive subfunds"/>
      <sheetName val="competitive 12_21"/>
      <sheetName val="entitlement 12_21"/>
      <sheetName val="entitlement subfunds"/>
      <sheetName val="Aggregate"/>
      <sheetName val="Aggregate (2)"/>
    </sheetNames>
    <sheetDataSet>
      <sheetData sheetId="0">
        <row r="40">
          <cell r="C40">
            <v>104168.23000000001</v>
          </cell>
        </row>
        <row r="41">
          <cell r="C41">
            <v>14573.619999999999</v>
          </cell>
        </row>
        <row r="42">
          <cell r="C42">
            <v>61500.59</v>
          </cell>
        </row>
        <row r="43">
          <cell r="C43">
            <v>180242.44</v>
          </cell>
          <cell r="D43">
            <v>474834</v>
          </cell>
        </row>
        <row r="44">
          <cell r="C44">
            <v>180228.50000000003</v>
          </cell>
        </row>
        <row r="45">
          <cell r="C45">
            <v>410448.42000000004</v>
          </cell>
        </row>
        <row r="46">
          <cell r="C46">
            <v>0</v>
          </cell>
        </row>
        <row r="47">
          <cell r="C47">
            <v>590676.92</v>
          </cell>
          <cell r="D47">
            <v>257700</v>
          </cell>
        </row>
        <row r="48">
          <cell r="C48">
            <v>194395.01</v>
          </cell>
          <cell r="D48">
            <v>288672</v>
          </cell>
        </row>
        <row r="49">
          <cell r="C49">
            <v>35766.7</v>
          </cell>
          <cell r="D49">
            <v>120105</v>
          </cell>
        </row>
        <row r="50">
          <cell r="C50">
            <v>53846.28</v>
          </cell>
          <cell r="D50">
            <v>101838</v>
          </cell>
        </row>
        <row r="51">
          <cell r="C51">
            <v>2138.67</v>
          </cell>
          <cell r="D51">
            <v>0</v>
          </cell>
        </row>
        <row r="52">
          <cell r="C52">
            <v>151.62</v>
          </cell>
          <cell r="D52">
            <v>600925</v>
          </cell>
        </row>
      </sheetData>
      <sheetData sheetId="1">
        <row r="188">
          <cell r="C188">
            <v>54490.799999999996</v>
          </cell>
        </row>
        <row r="189">
          <cell r="C189">
            <v>280632.20000000007</v>
          </cell>
        </row>
        <row r="190">
          <cell r="C190">
            <v>175756.37</v>
          </cell>
        </row>
        <row r="191">
          <cell r="C191">
            <v>510879.37000000005</v>
          </cell>
          <cell r="D191">
            <v>645149</v>
          </cell>
        </row>
        <row r="192">
          <cell r="C192">
            <v>411206.43</v>
          </cell>
        </row>
        <row r="193">
          <cell r="C193">
            <v>204428.06</v>
          </cell>
        </row>
        <row r="194">
          <cell r="C194">
            <v>0</v>
          </cell>
        </row>
        <row r="195">
          <cell r="C195">
            <v>615634.49</v>
          </cell>
          <cell r="D195">
            <v>974435</v>
          </cell>
        </row>
        <row r="196">
          <cell r="C196">
            <v>374293.85</v>
          </cell>
          <cell r="D196">
            <v>522184</v>
          </cell>
        </row>
        <row r="197">
          <cell r="C197">
            <v>74227.28</v>
          </cell>
          <cell r="D197">
            <v>183884</v>
          </cell>
        </row>
        <row r="198">
          <cell r="C198">
            <v>353996.04999999993</v>
          </cell>
          <cell r="D198">
            <v>987465</v>
          </cell>
        </row>
        <row r="199">
          <cell r="C199">
            <v>19797.649999999998</v>
          </cell>
          <cell r="D199">
            <v>14429</v>
          </cell>
        </row>
        <row r="200">
          <cell r="C200">
            <v>300036.82</v>
          </cell>
          <cell r="D200">
            <v>757641</v>
          </cell>
        </row>
      </sheetData>
      <sheetData sheetId="2">
        <row r="55">
          <cell r="C55">
            <v>18800</v>
          </cell>
        </row>
        <row r="56">
          <cell r="C56">
            <v>20151.93</v>
          </cell>
        </row>
        <row r="57">
          <cell r="C57">
            <v>0</v>
          </cell>
        </row>
        <row r="58">
          <cell r="C58">
            <v>38951.93</v>
          </cell>
          <cell r="D58">
            <v>28790</v>
          </cell>
        </row>
        <row r="59">
          <cell r="C59">
            <v>186897.79000000004</v>
          </cell>
        </row>
        <row r="60">
          <cell r="C60">
            <v>16727.72</v>
          </cell>
        </row>
        <row r="61">
          <cell r="C61">
            <v>0</v>
          </cell>
        </row>
        <row r="62">
          <cell r="C62">
            <v>203625.51</v>
          </cell>
          <cell r="D62">
            <v>220956</v>
          </cell>
        </row>
        <row r="63">
          <cell r="C63">
            <v>110940.12</v>
          </cell>
          <cell r="D63">
            <v>75980</v>
          </cell>
        </row>
        <row r="64">
          <cell r="C64">
            <v>33961.68000000001</v>
          </cell>
          <cell r="D64">
            <v>1265638</v>
          </cell>
        </row>
        <row r="65">
          <cell r="C65">
            <v>75960.48</v>
          </cell>
          <cell r="D65">
            <v>192763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</sheetData>
      <sheetData sheetId="3">
        <row r="154">
          <cell r="C154">
            <v>796556.7799999999</v>
          </cell>
        </row>
        <row r="155">
          <cell r="C155">
            <v>313348.97</v>
          </cell>
        </row>
        <row r="156">
          <cell r="C156">
            <v>458988.46</v>
          </cell>
        </row>
        <row r="157">
          <cell r="C157">
            <v>1568894.2100000002</v>
          </cell>
          <cell r="D157">
            <v>1850616</v>
          </cell>
        </row>
        <row r="158">
          <cell r="C158">
            <v>1068952.51</v>
          </cell>
        </row>
        <row r="159">
          <cell r="C159">
            <v>785406.1</v>
          </cell>
        </row>
        <row r="160">
          <cell r="C160">
            <v>103001.35</v>
          </cell>
        </row>
        <row r="161">
          <cell r="C161">
            <v>1957359.96</v>
          </cell>
          <cell r="D161">
            <v>2670967</v>
          </cell>
        </row>
        <row r="162">
          <cell r="C162">
            <v>1250968.19</v>
          </cell>
          <cell r="D162">
            <v>1418386</v>
          </cell>
        </row>
        <row r="163">
          <cell r="C163">
            <v>125326.4</v>
          </cell>
          <cell r="D163">
            <v>176106</v>
          </cell>
        </row>
        <row r="164">
          <cell r="C164">
            <v>391046.78</v>
          </cell>
          <cell r="D164">
            <v>895208</v>
          </cell>
        </row>
        <row r="165">
          <cell r="C165">
            <v>229720.7</v>
          </cell>
          <cell r="D165">
            <v>390649</v>
          </cell>
        </row>
        <row r="166">
          <cell r="C166">
            <v>340312.91</v>
          </cell>
          <cell r="D166">
            <v>757286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">
      <selection activeCell="D8" sqref="D8"/>
    </sheetView>
  </sheetViews>
  <sheetFormatPr defaultColWidth="9.140625" defaultRowHeight="15"/>
  <cols>
    <col min="1" max="1" width="42.57421875" style="0" customWidth="1"/>
    <col min="2" max="2" width="1.421875" style="0" hidden="1" customWidth="1"/>
    <col min="3" max="3" width="18.140625" style="2" customWidth="1"/>
    <col min="4" max="4" width="10.140625" style="0" customWidth="1"/>
  </cols>
  <sheetData>
    <row r="1" spans="1:3" ht="21">
      <c r="A1" s="23" t="s">
        <v>10</v>
      </c>
      <c r="B1" s="23"/>
      <c r="C1" s="24"/>
    </row>
    <row r="2" spans="1:3" ht="21">
      <c r="A2" s="23" t="s">
        <v>66</v>
      </c>
      <c r="B2" s="23"/>
      <c r="C2" s="24"/>
    </row>
    <row r="3" spans="1:3" ht="21">
      <c r="A3" s="23" t="s">
        <v>71</v>
      </c>
      <c r="B3" s="23"/>
      <c r="C3" s="24"/>
    </row>
    <row r="4" spans="1:3" ht="21">
      <c r="A4" s="23"/>
      <c r="B4" s="23"/>
      <c r="C4" s="24"/>
    </row>
    <row r="5" spans="1:3" ht="21">
      <c r="A5" s="23"/>
      <c r="B5" s="25"/>
      <c r="C5" s="26"/>
    </row>
    <row r="6" spans="1:3" ht="21">
      <c r="A6" s="27" t="s">
        <v>11</v>
      </c>
      <c r="B6" s="25"/>
      <c r="C6" s="28" t="s">
        <v>26</v>
      </c>
    </row>
    <row r="7" spans="1:3" ht="21">
      <c r="A7" s="25"/>
      <c r="B7" s="25"/>
      <c r="C7" s="26"/>
    </row>
    <row r="8" spans="1:3" ht="21">
      <c r="A8" s="25" t="s">
        <v>27</v>
      </c>
      <c r="B8" s="25"/>
      <c r="C8" s="26">
        <v>30950264</v>
      </c>
    </row>
    <row r="9" spans="1:3" ht="21">
      <c r="A9" s="25"/>
      <c r="B9" s="25"/>
      <c r="C9" s="26"/>
    </row>
    <row r="10" spans="1:3" ht="21">
      <c r="A10" s="25" t="s">
        <v>28</v>
      </c>
      <c r="B10" s="25"/>
      <c r="C10" s="26">
        <v>6327069</v>
      </c>
    </row>
    <row r="11" spans="1:3" ht="21">
      <c r="A11" s="25"/>
      <c r="B11" s="25"/>
      <c r="C11" s="26"/>
    </row>
    <row r="12" spans="1:3" ht="21">
      <c r="A12" s="25" t="s">
        <v>29</v>
      </c>
      <c r="B12" s="26" t="e">
        <f>#REF!-B10</f>
        <v>#REF!</v>
      </c>
      <c r="C12" s="29">
        <v>3306083</v>
      </c>
    </row>
    <row r="13" spans="1:3" ht="21">
      <c r="A13" s="25"/>
      <c r="B13" s="25"/>
      <c r="C13" s="26"/>
    </row>
    <row r="14" spans="1:3" ht="21.75" thickBot="1">
      <c r="A14" s="25" t="s">
        <v>5</v>
      </c>
      <c r="B14" s="25"/>
      <c r="C14" s="30">
        <f>SUM(C8:C12)</f>
        <v>40583416</v>
      </c>
    </row>
    <row r="15" spans="1:3" ht="21.75" thickTop="1">
      <c r="A15" s="25"/>
      <c r="B15" s="25"/>
      <c r="C15" s="26"/>
    </row>
    <row r="17" spans="1:6" ht="15" hidden="1">
      <c r="A17" t="s">
        <v>23</v>
      </c>
      <c r="D17" s="2"/>
      <c r="E17" s="2"/>
      <c r="F17" s="2"/>
    </row>
    <row r="18" spans="1:6" ht="15" hidden="1">
      <c r="A18" t="s">
        <v>24</v>
      </c>
      <c r="C18" s="2">
        <v>1887496</v>
      </c>
      <c r="D18" s="2"/>
      <c r="F18" s="2"/>
    </row>
    <row r="19" spans="1:3" ht="15" hidden="1">
      <c r="A19" t="s">
        <v>25</v>
      </c>
      <c r="C19" s="5">
        <v>895221</v>
      </c>
    </row>
    <row r="20" spans="1:6" ht="15" hidden="1">
      <c r="A20" t="s">
        <v>5</v>
      </c>
      <c r="C20" s="8">
        <f>C18+C19</f>
        <v>2782717</v>
      </c>
      <c r="E20" s="2"/>
      <c r="F20" s="2"/>
    </row>
    <row r="21" spans="1:5" ht="15" hidden="1">
      <c r="A21" t="s">
        <v>18</v>
      </c>
      <c r="C21" s="5">
        <v>1640655</v>
      </c>
      <c r="D21" s="12"/>
      <c r="E21" s="2"/>
    </row>
    <row r="22" spans="1:3" ht="15.75" hidden="1" thickBot="1">
      <c r="A22" t="s">
        <v>19</v>
      </c>
      <c r="C22" s="6">
        <f>C20-C21</f>
        <v>1142062</v>
      </c>
    </row>
    <row r="46" spans="1:3" ht="15">
      <c r="A46" s="3" t="s">
        <v>64</v>
      </c>
      <c r="B46" s="3"/>
      <c r="C46" s="4"/>
    </row>
  </sheetData>
  <sheetProtection/>
  <printOptions/>
  <pageMargins left="1.9" right="0.1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5">
      <selection activeCell="K13" sqref="K13:L23"/>
    </sheetView>
  </sheetViews>
  <sheetFormatPr defaultColWidth="9.140625" defaultRowHeight="15"/>
  <cols>
    <col min="1" max="1" width="32.28125" style="0" customWidth="1"/>
    <col min="2" max="2" width="1.421875" style="0" hidden="1" customWidth="1"/>
    <col min="3" max="3" width="20.7109375" style="2" customWidth="1"/>
    <col min="4" max="4" width="8.140625" style="2" customWidth="1"/>
    <col min="5" max="5" width="20.7109375" style="2" customWidth="1"/>
    <col min="6" max="6" width="7.7109375" style="2" customWidth="1"/>
    <col min="7" max="7" width="14.7109375" style="2" hidden="1" customWidth="1"/>
    <col min="11" max="11" width="16.421875" style="2" customWidth="1"/>
    <col min="12" max="12" width="16.421875" style="0" customWidth="1"/>
  </cols>
  <sheetData>
    <row r="1" spans="1:6" ht="18.75">
      <c r="A1" s="9" t="s">
        <v>10</v>
      </c>
      <c r="B1" s="9"/>
      <c r="C1" s="13"/>
      <c r="D1" s="13"/>
      <c r="E1" s="13"/>
      <c r="F1" s="13"/>
    </row>
    <row r="2" spans="1:6" ht="18.75">
      <c r="A2" s="9" t="s">
        <v>66</v>
      </c>
      <c r="B2" s="9"/>
      <c r="C2" s="13"/>
      <c r="D2" s="13"/>
      <c r="E2" s="13"/>
      <c r="F2" s="13"/>
    </row>
    <row r="3" spans="1:6" ht="18.75">
      <c r="A3" s="9" t="s">
        <v>71</v>
      </c>
      <c r="B3" s="9"/>
      <c r="C3" s="13"/>
      <c r="D3" s="13"/>
      <c r="E3" s="13"/>
      <c r="F3" s="13"/>
    </row>
    <row r="4" spans="1:6" ht="18.75">
      <c r="A4" s="9"/>
      <c r="B4" s="9"/>
      <c r="C4" s="13"/>
      <c r="D4" s="13"/>
      <c r="E4" s="14"/>
      <c r="F4" s="14"/>
    </row>
    <row r="5" spans="1:6" ht="18.75">
      <c r="A5" s="9"/>
      <c r="B5" s="10"/>
      <c r="C5" s="16" t="s">
        <v>49</v>
      </c>
      <c r="D5" s="13"/>
      <c r="E5" s="16" t="s">
        <v>50</v>
      </c>
      <c r="F5" s="13"/>
    </row>
    <row r="6" spans="1:7" ht="18.75">
      <c r="A6" s="17" t="s">
        <v>11</v>
      </c>
      <c r="B6" s="10"/>
      <c r="C6" s="18" t="s">
        <v>26</v>
      </c>
      <c r="D6" s="18" t="s">
        <v>40</v>
      </c>
      <c r="E6" s="18" t="s">
        <v>26</v>
      </c>
      <c r="F6" s="18" t="s">
        <v>40</v>
      </c>
      <c r="G6" s="7" t="s">
        <v>5</v>
      </c>
    </row>
    <row r="7" spans="1:6" ht="18.75">
      <c r="A7" s="10"/>
      <c r="B7" s="10"/>
      <c r="C7" s="14"/>
      <c r="D7" s="14"/>
      <c r="E7" s="14"/>
      <c r="F7" s="14"/>
    </row>
    <row r="8" spans="1:6" ht="18.75">
      <c r="A8" s="10" t="s">
        <v>74</v>
      </c>
      <c r="B8" s="10"/>
      <c r="C8" s="14">
        <f>(6081084+3406349)-1502361</f>
        <v>7985072</v>
      </c>
      <c r="D8" s="19">
        <f>C8/$C$27%</f>
        <v>25.79968929635179</v>
      </c>
      <c r="E8" s="14">
        <v>974016</v>
      </c>
      <c r="F8" s="14">
        <f>E8/$E$27%</f>
        <v>10.11108410944664</v>
      </c>
    </row>
    <row r="9" spans="1:6" ht="18.75">
      <c r="A9" s="10" t="s">
        <v>51</v>
      </c>
      <c r="B9" s="10"/>
      <c r="C9" s="14">
        <f>5691346+578895</f>
        <v>6270241</v>
      </c>
      <c r="D9" s="19">
        <f>C9/$C$27%</f>
        <v>20.259087158293145</v>
      </c>
      <c r="E9" s="14">
        <v>628707</v>
      </c>
      <c r="F9" s="14">
        <f>E9/$E$27%</f>
        <v>6.526493771352697</v>
      </c>
    </row>
    <row r="10" spans="1:6" ht="18.75">
      <c r="A10" s="10" t="s">
        <v>52</v>
      </c>
      <c r="B10" s="10"/>
      <c r="C10" s="20">
        <f>1493278+9083</f>
        <v>1502361</v>
      </c>
      <c r="D10" s="20">
        <f>C10/$C$27%</f>
        <v>4.854113652445009</v>
      </c>
      <c r="E10" s="20">
        <v>696245</v>
      </c>
      <c r="F10" s="20">
        <f>E10/$E$27%</f>
        <v>7.22759354649377</v>
      </c>
    </row>
    <row r="11" spans="1:6" ht="18.75">
      <c r="A11" s="10" t="s">
        <v>53</v>
      </c>
      <c r="B11" s="10"/>
      <c r="C11" s="14">
        <f>SUM(C8:C10)</f>
        <v>15757674</v>
      </c>
      <c r="D11" s="21">
        <f>C11/$C$27%</f>
        <v>50.91289010708994</v>
      </c>
      <c r="E11" s="14">
        <f>SUM(E8:E10)</f>
        <v>2298968</v>
      </c>
      <c r="F11" s="14">
        <f>E11/$E$27%</f>
        <v>23.865171427293106</v>
      </c>
    </row>
    <row r="12" spans="1:6" ht="18.75">
      <c r="A12" s="10"/>
      <c r="B12" s="10"/>
      <c r="C12" s="14"/>
      <c r="D12" s="19"/>
      <c r="E12" s="14"/>
      <c r="F12" s="14"/>
    </row>
    <row r="13" spans="1:6" ht="18.75">
      <c r="A13" s="10" t="s">
        <v>75</v>
      </c>
      <c r="B13" s="10"/>
      <c r="C13" s="14">
        <f>(4262000+682184)-1049916</f>
        <v>3894268</v>
      </c>
      <c r="D13" s="19">
        <f>C13/$C$27%</f>
        <v>12.58234170421072</v>
      </c>
      <c r="E13" s="14">
        <v>1847285</v>
      </c>
      <c r="F13" s="14">
        <f>E13/$E$27%</f>
        <v>19.176331815000097</v>
      </c>
    </row>
    <row r="14" spans="1:6" ht="18.75">
      <c r="A14" s="10" t="s">
        <v>54</v>
      </c>
      <c r="B14" s="10"/>
      <c r="C14" s="14">
        <v>1049916.2</v>
      </c>
      <c r="D14" s="19">
        <f>C14/$C$27%</f>
        <v>3.3922689422470262</v>
      </c>
      <c r="E14" s="14">
        <v>103001</v>
      </c>
      <c r="F14" s="14">
        <f>E14/$E$27%</f>
        <v>1.0692347706373544</v>
      </c>
    </row>
    <row r="15" spans="1:6" ht="18.75">
      <c r="A15" s="10" t="s">
        <v>55</v>
      </c>
      <c r="B15" s="10"/>
      <c r="C15" s="20">
        <v>911827</v>
      </c>
      <c r="D15" s="20">
        <f>C15/$C$27%</f>
        <v>2.946104091738254</v>
      </c>
      <c r="E15" s="20">
        <v>1417010</v>
      </c>
      <c r="F15" s="20">
        <f>E15/$E$27%</f>
        <v>14.709724782680144</v>
      </c>
    </row>
    <row r="16" spans="1:6" ht="18.75">
      <c r="A16" s="10" t="s">
        <v>56</v>
      </c>
      <c r="B16" s="10"/>
      <c r="C16" s="14">
        <f>SUM(C13:C15)</f>
        <v>5856011.2</v>
      </c>
      <c r="D16" s="19">
        <f>C16/$C$27%</f>
        <v>18.920714738196</v>
      </c>
      <c r="E16" s="14">
        <f>SUM(E13:E15)</f>
        <v>3367296</v>
      </c>
      <c r="F16" s="14">
        <f>E16/$E$27%</f>
        <v>34.955291368317596</v>
      </c>
    </row>
    <row r="17" spans="1:6" ht="18.75">
      <c r="A17" s="10"/>
      <c r="B17" s="10"/>
      <c r="C17" s="14"/>
      <c r="D17" s="19"/>
      <c r="E17" s="14"/>
      <c r="F17" s="14"/>
    </row>
    <row r="18" spans="1:6" ht="18.75">
      <c r="A18" s="10" t="s">
        <v>59</v>
      </c>
      <c r="B18" s="10"/>
      <c r="C18" s="14">
        <v>7400959</v>
      </c>
      <c r="D18" s="20">
        <f>C18/$C$27%</f>
        <v>23.912425923653345</v>
      </c>
      <c r="E18" s="20">
        <v>1930597</v>
      </c>
      <c r="F18" s="20">
        <f>E18/$E$27%</f>
        <v>20.04117863407311</v>
      </c>
    </row>
    <row r="19" spans="1:6" ht="18.75">
      <c r="A19" s="10"/>
      <c r="B19" s="10"/>
      <c r="C19" s="21"/>
      <c r="D19" s="19"/>
      <c r="E19" s="19"/>
      <c r="F19" s="19"/>
    </row>
    <row r="20" spans="1:6" ht="18.75">
      <c r="A20" s="10" t="s">
        <v>57</v>
      </c>
      <c r="B20" s="10"/>
      <c r="C20" s="19">
        <f>C11+C16+C18</f>
        <v>29014644.2</v>
      </c>
      <c r="D20" s="19">
        <f>C20/$C$27%</f>
        <v>93.74603076893928</v>
      </c>
      <c r="E20" s="14">
        <f>E11+E16+E18</f>
        <v>7596861</v>
      </c>
      <c r="F20" s="14">
        <f>E20/$E$27%</f>
        <v>78.86164142968381</v>
      </c>
    </row>
    <row r="21" spans="1:6" ht="18.75">
      <c r="A21" s="10"/>
      <c r="B21" s="10"/>
      <c r="C21" s="14"/>
      <c r="D21" s="14"/>
      <c r="E21" s="14"/>
      <c r="F21" s="14"/>
    </row>
    <row r="22" spans="1:6" ht="18.75">
      <c r="A22" s="10" t="s">
        <v>60</v>
      </c>
      <c r="B22" s="10"/>
      <c r="C22" s="14">
        <v>281993</v>
      </c>
      <c r="D22" s="19">
        <f>C22/$C$27%</f>
        <v>0.9111166165747949</v>
      </c>
      <c r="E22" s="14">
        <v>269282</v>
      </c>
      <c r="F22" s="14">
        <f>E22/$E$27%</f>
        <v>2.7953677877570904</v>
      </c>
    </row>
    <row r="23" spans="1:12" ht="18.75">
      <c r="A23" s="10" t="s">
        <v>61</v>
      </c>
      <c r="B23" s="10"/>
      <c r="C23" s="14">
        <v>1219421</v>
      </c>
      <c r="D23" s="19">
        <f>C23/$C$27%</f>
        <v>3.9399372881605323</v>
      </c>
      <c r="E23" s="14">
        <v>874850</v>
      </c>
      <c r="F23" s="14">
        <f>E23/$E$27%</f>
        <v>9.0816597808962</v>
      </c>
      <c r="L23" s="2"/>
    </row>
    <row r="24" spans="1:6" ht="18.75">
      <c r="A24" s="10" t="s">
        <v>62</v>
      </c>
      <c r="B24" s="10"/>
      <c r="C24" s="14">
        <v>182744</v>
      </c>
      <c r="D24" s="19">
        <f>C24/$C$27%</f>
        <v>0.5904440712334856</v>
      </c>
      <c r="E24" s="14">
        <v>251657</v>
      </c>
      <c r="F24" s="14">
        <f>E24/$E$27%</f>
        <v>2.6124058472663827</v>
      </c>
    </row>
    <row r="25" spans="1:6" ht="18.75">
      <c r="A25" s="10" t="s">
        <v>63</v>
      </c>
      <c r="B25" s="10"/>
      <c r="C25" s="20">
        <v>251462</v>
      </c>
      <c r="D25" s="20">
        <f>C25/$C$27%</f>
        <v>0.8124712550919032</v>
      </c>
      <c r="E25" s="20">
        <v>640501</v>
      </c>
      <c r="F25" s="20">
        <f>E25/$E$27%</f>
        <v>6.6489251543965215</v>
      </c>
    </row>
    <row r="26" spans="1:6" ht="18.75">
      <c r="A26" s="10"/>
      <c r="B26" s="10"/>
      <c r="C26" s="19"/>
      <c r="D26" s="19"/>
      <c r="E26" s="14"/>
      <c r="F26" s="14"/>
    </row>
    <row r="27" spans="1:6" ht="19.5" thickBot="1">
      <c r="A27" s="10" t="s">
        <v>58</v>
      </c>
      <c r="B27" s="10"/>
      <c r="C27" s="22">
        <f>SUM(C20:C25)</f>
        <v>30950264.2</v>
      </c>
      <c r="D27" s="22">
        <f>C27/$C$27%</f>
        <v>100</v>
      </c>
      <c r="E27" s="22">
        <f>SUM(E20:E25)</f>
        <v>9633151</v>
      </c>
      <c r="F27" s="22">
        <f>E27/$E$27%</f>
        <v>100</v>
      </c>
    </row>
    <row r="28" ht="15.75" thickTop="1"/>
    <row r="30" spans="1:8" ht="15" hidden="1">
      <c r="A30" t="s">
        <v>23</v>
      </c>
      <c r="H30" s="2"/>
    </row>
    <row r="31" spans="1:8" ht="15" hidden="1">
      <c r="A31" t="s">
        <v>24</v>
      </c>
      <c r="C31" s="2">
        <v>1887496</v>
      </c>
      <c r="H31" s="2"/>
    </row>
    <row r="32" spans="1:4" ht="15" hidden="1">
      <c r="A32" t="s">
        <v>25</v>
      </c>
      <c r="C32" s="5">
        <v>895221</v>
      </c>
      <c r="D32" s="8"/>
    </row>
    <row r="33" spans="1:8" ht="15" hidden="1">
      <c r="A33" t="s">
        <v>5</v>
      </c>
      <c r="C33" s="8">
        <f>C31+C32</f>
        <v>2782717</v>
      </c>
      <c r="D33" s="8"/>
      <c r="H33" s="2"/>
    </row>
    <row r="34" spans="1:4" ht="15" hidden="1">
      <c r="A34" t="s">
        <v>18</v>
      </c>
      <c r="C34" s="5">
        <v>1640655</v>
      </c>
      <c r="D34" s="8"/>
    </row>
    <row r="35" spans="1:4" ht="15.75" hidden="1" thickBot="1">
      <c r="A35" t="s">
        <v>19</v>
      </c>
      <c r="C35" s="6">
        <f>C33-C34</f>
        <v>1142062</v>
      </c>
      <c r="D35" s="8"/>
    </row>
    <row r="44" spans="1:6" ht="15">
      <c r="A44" s="3" t="s">
        <v>65</v>
      </c>
      <c r="B44" s="3"/>
      <c r="C44" s="4"/>
      <c r="D44" s="4"/>
      <c r="E44" s="4"/>
      <c r="F4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8515625" style="0" customWidth="1"/>
    <col min="2" max="2" width="16.28125" style="2" customWidth="1"/>
    <col min="3" max="3" width="17.28125" style="2" customWidth="1"/>
    <col min="4" max="4" width="17.140625" style="2" customWidth="1"/>
  </cols>
  <sheetData>
    <row r="1" spans="1:4" ht="21">
      <c r="A1" s="23" t="s">
        <v>9</v>
      </c>
      <c r="B1" s="24"/>
      <c r="C1" s="24"/>
      <c r="D1" s="24"/>
    </row>
    <row r="2" spans="1:4" ht="21">
      <c r="A2" s="23" t="s">
        <v>72</v>
      </c>
      <c r="B2" s="24"/>
      <c r="C2" s="24"/>
      <c r="D2" s="24"/>
    </row>
    <row r="3" spans="1:4" ht="21">
      <c r="A3" s="25"/>
      <c r="B3" s="26"/>
      <c r="C3" s="26"/>
      <c r="D3" s="26"/>
    </row>
    <row r="4" spans="1:4" ht="21">
      <c r="A4" s="32"/>
      <c r="B4" s="33" t="s">
        <v>3</v>
      </c>
      <c r="C4" s="33" t="s">
        <v>4</v>
      </c>
      <c r="D4" s="33" t="s">
        <v>5</v>
      </c>
    </row>
    <row r="5" spans="1:4" ht="21">
      <c r="A5" s="32"/>
      <c r="B5" s="34"/>
      <c r="C5" s="34"/>
      <c r="D5" s="34"/>
    </row>
    <row r="6" spans="1:4" ht="21">
      <c r="A6" s="35" t="s">
        <v>0</v>
      </c>
      <c r="B6" s="34">
        <f>5529.17+51.55-200</f>
        <v>5380.72</v>
      </c>
      <c r="C6" s="34">
        <v>200</v>
      </c>
      <c r="D6" s="34">
        <f>B6+C6</f>
        <v>5580.72</v>
      </c>
    </row>
    <row r="7" spans="1:4" ht="21">
      <c r="A7" s="35" t="s">
        <v>1</v>
      </c>
      <c r="B7" s="34">
        <f>15328.97+7.03</f>
        <v>15336</v>
      </c>
      <c r="C7" s="34">
        <v>1500</v>
      </c>
      <c r="D7" s="34">
        <f>B7+C7</f>
        <v>16836</v>
      </c>
    </row>
    <row r="8" spans="1:4" ht="21">
      <c r="A8" s="35" t="s">
        <v>2</v>
      </c>
      <c r="B8" s="34">
        <f>7932+19</f>
        <v>7951</v>
      </c>
      <c r="C8" s="34">
        <v>100</v>
      </c>
      <c r="D8" s="34">
        <f>B8+C8</f>
        <v>8051</v>
      </c>
    </row>
    <row r="9" spans="1:4" ht="21">
      <c r="A9" s="32"/>
      <c r="B9" s="34"/>
      <c r="C9" s="34"/>
      <c r="D9" s="34"/>
    </row>
    <row r="10" spans="1:4" ht="21">
      <c r="A10" s="32" t="s">
        <v>6</v>
      </c>
      <c r="B10" s="34">
        <f>SUM(B6:B9)</f>
        <v>28667.72</v>
      </c>
      <c r="C10" s="34">
        <f>SUM(C6:C9)</f>
        <v>1800</v>
      </c>
      <c r="D10" s="34">
        <f>SUM(B10:C10)</f>
        <v>30467.72</v>
      </c>
    </row>
    <row r="43" spans="1:5" ht="15">
      <c r="A43" s="3" t="s">
        <v>67</v>
      </c>
      <c r="B43" s="4"/>
      <c r="C43" s="4"/>
      <c r="D43" s="4"/>
      <c r="E43" s="3"/>
    </row>
  </sheetData>
  <sheetProtection/>
  <printOptions/>
  <pageMargins left="1.4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O10" sqref="O10"/>
    </sheetView>
  </sheetViews>
  <sheetFormatPr defaultColWidth="9.140625" defaultRowHeight="15"/>
  <cols>
    <col min="1" max="1" width="47.8515625" style="0" customWidth="1"/>
    <col min="2" max="2" width="2.421875" style="0" hidden="1" customWidth="1"/>
    <col min="3" max="3" width="19.140625" style="2" customWidth="1"/>
    <col min="4" max="4" width="10.140625" style="0" customWidth="1"/>
  </cols>
  <sheetData>
    <row r="1" spans="1:3" ht="21">
      <c r="A1" s="23" t="s">
        <v>10</v>
      </c>
      <c r="B1" s="23"/>
      <c r="C1" s="24"/>
    </row>
    <row r="2" spans="1:3" ht="21">
      <c r="A2" s="23" t="s">
        <v>17</v>
      </c>
      <c r="B2" s="23"/>
      <c r="C2" s="24"/>
    </row>
    <row r="3" spans="1:3" ht="21">
      <c r="A3" s="23" t="s">
        <v>73</v>
      </c>
      <c r="B3" s="23"/>
      <c r="C3" s="24"/>
    </row>
    <row r="4" spans="1:3" ht="21">
      <c r="A4" s="23"/>
      <c r="B4" s="23"/>
      <c r="C4" s="24"/>
    </row>
    <row r="5" spans="1:3" ht="21">
      <c r="A5" s="23"/>
      <c r="B5" s="25"/>
      <c r="C5" s="26"/>
    </row>
    <row r="6" spans="1:3" ht="21">
      <c r="A6" s="27" t="s">
        <v>11</v>
      </c>
      <c r="B6" s="25"/>
      <c r="C6" s="28" t="s">
        <v>26</v>
      </c>
    </row>
    <row r="7" spans="1:3" ht="21">
      <c r="A7" s="25"/>
      <c r="B7" s="25"/>
      <c r="C7" s="26"/>
    </row>
    <row r="8" spans="1:3" ht="21">
      <c r="A8" s="25" t="s">
        <v>20</v>
      </c>
      <c r="B8" s="25"/>
      <c r="C8" s="26">
        <v>30393768</v>
      </c>
    </row>
    <row r="9" spans="1:3" ht="21">
      <c r="A9" s="25"/>
      <c r="B9" s="25"/>
      <c r="C9" s="26"/>
    </row>
    <row r="10" spans="1:3" ht="21">
      <c r="A10" s="25" t="s">
        <v>12</v>
      </c>
      <c r="B10" s="25"/>
      <c r="C10" s="26">
        <v>30707571</v>
      </c>
    </row>
    <row r="11" spans="1:3" ht="21">
      <c r="A11" s="25"/>
      <c r="B11" s="25"/>
      <c r="C11" s="26"/>
    </row>
    <row r="12" spans="1:3" ht="21">
      <c r="A12" s="25" t="s">
        <v>76</v>
      </c>
      <c r="B12" s="26" t="e">
        <f>#REF!-B10</f>
        <v>#REF!</v>
      </c>
      <c r="C12" s="37">
        <f>C8-C10</f>
        <v>-313803</v>
      </c>
    </row>
    <row r="13" spans="1:3" ht="21">
      <c r="A13" s="25"/>
      <c r="B13" s="25"/>
      <c r="C13" s="26"/>
    </row>
    <row r="14" spans="1:3" ht="21">
      <c r="A14" s="25" t="s">
        <v>7</v>
      </c>
      <c r="B14" s="25"/>
      <c r="C14" s="26">
        <v>1827035</v>
      </c>
    </row>
    <row r="15" spans="1:3" ht="21">
      <c r="A15" s="25"/>
      <c r="B15" s="25"/>
      <c r="C15" s="26"/>
    </row>
    <row r="16" spans="1:3" ht="21.75" thickBot="1">
      <c r="A16" s="25" t="s">
        <v>8</v>
      </c>
      <c r="B16" s="25"/>
      <c r="C16" s="30">
        <f>C12+C14</f>
        <v>1513232</v>
      </c>
    </row>
    <row r="17" spans="1:3" ht="21.75" thickTop="1">
      <c r="A17" s="25"/>
      <c r="B17" s="25"/>
      <c r="C17" s="26"/>
    </row>
    <row r="18" spans="1:3" ht="21">
      <c r="A18" s="25"/>
      <c r="B18" s="25"/>
      <c r="C18" s="26"/>
    </row>
    <row r="19" spans="1:3" ht="21">
      <c r="A19" s="25"/>
      <c r="B19" s="25"/>
      <c r="C19" s="26"/>
    </row>
    <row r="20" spans="1:3" ht="21">
      <c r="A20" s="25" t="s">
        <v>13</v>
      </c>
      <c r="B20" s="25"/>
      <c r="C20" s="26"/>
    </row>
    <row r="21" spans="1:3" ht="21">
      <c r="A21" s="25" t="s">
        <v>14</v>
      </c>
      <c r="B21" s="25"/>
      <c r="C21" s="26">
        <v>141957</v>
      </c>
    </row>
    <row r="22" spans="1:3" ht="21">
      <c r="A22" s="25" t="s">
        <v>21</v>
      </c>
      <c r="B22" s="39"/>
      <c r="C22" s="38">
        <v>410529</v>
      </c>
    </row>
    <row r="23" spans="1:3" ht="21">
      <c r="A23" s="25" t="s">
        <v>22</v>
      </c>
      <c r="B23" s="39"/>
      <c r="C23" s="38">
        <v>361584</v>
      </c>
    </row>
    <row r="24" spans="1:3" ht="21">
      <c r="A24" s="25" t="s">
        <v>15</v>
      </c>
      <c r="B24" s="26">
        <f>SUM(B21:B23)</f>
        <v>0</v>
      </c>
      <c r="C24" s="41">
        <f>SUM(C21:C23)</f>
        <v>914070</v>
      </c>
    </row>
    <row r="25" spans="1:3" ht="21">
      <c r="A25" s="25"/>
      <c r="B25" s="26"/>
      <c r="C25" s="26"/>
    </row>
    <row r="26" spans="1:4" ht="21.75" thickBot="1">
      <c r="A26" s="25" t="s">
        <v>16</v>
      </c>
      <c r="B26" s="25"/>
      <c r="C26" s="30">
        <f>C16-C24</f>
        <v>599162</v>
      </c>
      <c r="D26" s="11"/>
    </row>
    <row r="27" spans="1:3" ht="21.75" thickTop="1">
      <c r="A27" s="25"/>
      <c r="B27" s="25"/>
      <c r="C27" s="26"/>
    </row>
    <row r="28" spans="1:3" ht="21">
      <c r="A28" s="25"/>
      <c r="B28" s="25"/>
      <c r="C28" s="26"/>
    </row>
    <row r="29" spans="1:6" ht="21" hidden="1">
      <c r="A29" s="25" t="s">
        <v>23</v>
      </c>
      <c r="B29" s="25"/>
      <c r="C29" s="26"/>
      <c r="D29" s="2"/>
      <c r="E29" s="2"/>
      <c r="F29" s="2"/>
    </row>
    <row r="30" spans="1:6" ht="21" hidden="1">
      <c r="A30" s="25" t="s">
        <v>24</v>
      </c>
      <c r="B30" s="25"/>
      <c r="C30" s="26"/>
      <c r="D30" s="2"/>
      <c r="F30" s="2"/>
    </row>
    <row r="31" spans="1:3" ht="21" hidden="1">
      <c r="A31" s="25" t="s">
        <v>25</v>
      </c>
      <c r="B31" s="25"/>
      <c r="C31" s="26"/>
    </row>
    <row r="32" spans="1:6" ht="21" hidden="1">
      <c r="A32" s="25" t="s">
        <v>5</v>
      </c>
      <c r="B32" s="25"/>
      <c r="C32" s="26"/>
      <c r="E32" s="2"/>
      <c r="F32" s="2"/>
    </row>
    <row r="33" spans="1:5" ht="21" hidden="1">
      <c r="A33" s="25" t="s">
        <v>18</v>
      </c>
      <c r="B33" s="25"/>
      <c r="C33" s="26"/>
      <c r="D33" s="12"/>
      <c r="E33" s="2"/>
    </row>
    <row r="34" spans="1:3" ht="21" hidden="1">
      <c r="A34" s="25" t="s">
        <v>19</v>
      </c>
      <c r="B34" s="25"/>
      <c r="C34" s="26"/>
    </row>
    <row r="35" spans="1:3" ht="21">
      <c r="A35" s="25"/>
      <c r="B35" s="25"/>
      <c r="C35" s="26"/>
    </row>
    <row r="39" spans="1:3" ht="15">
      <c r="A39" s="3" t="s">
        <v>69</v>
      </c>
      <c r="B39" s="3"/>
      <c r="C39" s="4"/>
    </row>
  </sheetData>
  <sheetProtection/>
  <printOptions/>
  <pageMargins left="1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4">
      <selection activeCell="A46" sqref="A46:IV54"/>
    </sheetView>
  </sheetViews>
  <sheetFormatPr defaultColWidth="9.140625" defaultRowHeight="15"/>
  <cols>
    <col min="1" max="1" width="39.421875" style="0" customWidth="1"/>
    <col min="2" max="2" width="1.421875" style="0" hidden="1" customWidth="1"/>
    <col min="3" max="3" width="14.7109375" style="2" customWidth="1"/>
    <col min="4" max="4" width="8.140625" style="2" customWidth="1"/>
    <col min="5" max="6" width="14.7109375" style="0" hidden="1" customWidth="1"/>
  </cols>
  <sheetData>
    <row r="1" spans="1:4" ht="18.75">
      <c r="A1" s="9" t="s">
        <v>10</v>
      </c>
      <c r="B1" s="9"/>
      <c r="C1" s="13"/>
      <c r="D1" s="13"/>
    </row>
    <row r="2" spans="1:4" ht="18.75">
      <c r="A2" s="9" t="s">
        <v>17</v>
      </c>
      <c r="B2" s="9"/>
      <c r="C2" s="13"/>
      <c r="D2" s="13"/>
    </row>
    <row r="3" spans="1:4" ht="18.75">
      <c r="A3" s="9" t="s">
        <v>73</v>
      </c>
      <c r="B3" s="9"/>
      <c r="C3" s="13"/>
      <c r="D3" s="13"/>
    </row>
    <row r="4" spans="1:4" ht="18.75">
      <c r="A4" s="9"/>
      <c r="B4" s="9"/>
      <c r="C4" s="13"/>
      <c r="D4" s="13"/>
    </row>
    <row r="5" spans="1:6" ht="18.75">
      <c r="A5" s="17" t="s">
        <v>11</v>
      </c>
      <c r="B5" s="10"/>
      <c r="C5" s="18" t="s">
        <v>26</v>
      </c>
      <c r="D5" s="18" t="s">
        <v>40</v>
      </c>
      <c r="E5" s="1" t="s">
        <v>37</v>
      </c>
      <c r="F5" s="1" t="s">
        <v>5</v>
      </c>
    </row>
    <row r="6" spans="1:4" ht="13.5" customHeight="1">
      <c r="A6" s="10"/>
      <c r="B6" s="10"/>
      <c r="C6" s="14"/>
      <c r="D6" s="14"/>
    </row>
    <row r="7" spans="1:5" ht="18.75">
      <c r="A7" s="10" t="s">
        <v>20</v>
      </c>
      <c r="B7" s="10"/>
      <c r="C7" s="14">
        <v>30393768</v>
      </c>
      <c r="D7" s="14"/>
      <c r="E7" s="2"/>
    </row>
    <row r="8" spans="1:4" ht="13.5" customHeight="1">
      <c r="A8" s="10"/>
      <c r="B8" s="10"/>
      <c r="C8" s="14"/>
      <c r="D8" s="14"/>
    </row>
    <row r="9" spans="1:4" ht="18.75">
      <c r="A9" s="10" t="s">
        <v>38</v>
      </c>
      <c r="B9" s="10"/>
      <c r="C9" s="14"/>
      <c r="D9" s="14"/>
    </row>
    <row r="10" spans="1:4" ht="13.5" customHeight="1">
      <c r="A10" s="10"/>
      <c r="B10" s="10"/>
      <c r="C10" s="14"/>
      <c r="D10" s="14"/>
    </row>
    <row r="11" spans="1:4" ht="18.75">
      <c r="A11" s="10" t="s">
        <v>30</v>
      </c>
      <c r="B11" s="10"/>
      <c r="C11" s="14"/>
      <c r="D11" s="19"/>
    </row>
    <row r="12" spans="1:4" ht="18.75">
      <c r="A12" s="10" t="s">
        <v>41</v>
      </c>
      <c r="B12" s="10"/>
      <c r="C12" s="14">
        <f>(6271313+3716466)-1738470</f>
        <v>8249309</v>
      </c>
      <c r="D12" s="19">
        <f>C12/$C$31%</f>
        <v>26.864088338344963</v>
      </c>
    </row>
    <row r="13" spans="1:4" ht="18.75">
      <c r="A13" s="10" t="s">
        <v>42</v>
      </c>
      <c r="B13" s="10"/>
      <c r="C13" s="14">
        <f>5124411+358755</f>
        <v>5483166</v>
      </c>
      <c r="D13" s="19">
        <f>C13/$C$31%</f>
        <v>17.856072041647316</v>
      </c>
    </row>
    <row r="14" spans="1:4" ht="18.75">
      <c r="A14" s="10" t="s">
        <v>43</v>
      </c>
      <c r="B14" s="10"/>
      <c r="C14" s="20">
        <v>1738470</v>
      </c>
      <c r="D14" s="19">
        <f>C14/$C$31%</f>
        <v>5.66137256509152</v>
      </c>
    </row>
    <row r="15" spans="1:4" ht="18.75">
      <c r="A15" s="10" t="s">
        <v>44</v>
      </c>
      <c r="B15" s="10"/>
      <c r="C15" s="14">
        <f>SUM(C12:C14)</f>
        <v>15470945</v>
      </c>
      <c r="D15" s="19">
        <f>C15/$C$31%</f>
        <v>50.3815329450838</v>
      </c>
    </row>
    <row r="16" spans="1:4" ht="13.5" customHeight="1">
      <c r="A16" s="10"/>
      <c r="B16" s="10"/>
      <c r="C16" s="14"/>
      <c r="D16" s="19"/>
    </row>
    <row r="17" spans="1:4" ht="18.75">
      <c r="A17" s="10" t="s">
        <v>31</v>
      </c>
      <c r="B17" s="10"/>
      <c r="C17" s="14"/>
      <c r="D17" s="19"/>
    </row>
    <row r="18" spans="1:4" ht="18.75">
      <c r="A18" s="10" t="s">
        <v>45</v>
      </c>
      <c r="B18" s="10"/>
      <c r="C18" s="14">
        <f>(4642701+707997)-1068392</f>
        <v>4282306</v>
      </c>
      <c r="D18" s="19">
        <f>C18/$C$31%</f>
        <v>13.94544036061986</v>
      </c>
    </row>
    <row r="19" spans="1:4" ht="18.75">
      <c r="A19" s="10" t="s">
        <v>46</v>
      </c>
      <c r="B19" s="10"/>
      <c r="C19" s="14">
        <v>1068392</v>
      </c>
      <c r="D19" s="19">
        <f>C19/$C$31%</f>
        <v>3.479246209346874</v>
      </c>
    </row>
    <row r="20" spans="1:4" ht="18.75">
      <c r="A20" s="10" t="s">
        <v>47</v>
      </c>
      <c r="B20" s="10"/>
      <c r="C20" s="20">
        <f>337456+19000</f>
        <v>356456</v>
      </c>
      <c r="D20" s="19">
        <f>C20/$C$31%</f>
        <v>1.1608081928720444</v>
      </c>
    </row>
    <row r="21" spans="1:4" ht="18.75">
      <c r="A21" s="10" t="s">
        <v>48</v>
      </c>
      <c r="B21" s="10"/>
      <c r="C21" s="14">
        <f>SUM(C18:C20)</f>
        <v>5707154</v>
      </c>
      <c r="D21" s="19">
        <f>C21/$C$31%</f>
        <v>18.585494762838778</v>
      </c>
    </row>
    <row r="22" spans="1:4" ht="13.5" customHeight="1">
      <c r="A22" s="10"/>
      <c r="B22" s="10"/>
      <c r="C22" s="14"/>
      <c r="D22" s="19"/>
    </row>
    <row r="23" spans="1:4" ht="18.75">
      <c r="A23" s="10" t="s">
        <v>32</v>
      </c>
      <c r="B23" s="10"/>
      <c r="C23" s="14">
        <v>7495306</v>
      </c>
      <c r="D23" s="19">
        <f>C23/$C$31%</f>
        <v>24.40865804722881</v>
      </c>
    </row>
    <row r="24" spans="1:4" ht="13.5" customHeight="1">
      <c r="A24" s="10"/>
      <c r="B24" s="10"/>
      <c r="C24" s="14"/>
      <c r="D24" s="19"/>
    </row>
    <row r="25" spans="1:4" ht="18.75">
      <c r="A25" s="10" t="s">
        <v>33</v>
      </c>
      <c r="B25" s="10"/>
      <c r="C25" s="19">
        <f>C15+C21+C23</f>
        <v>28673405</v>
      </c>
      <c r="D25" s="19">
        <f>C25/$C$31%</f>
        <v>93.37568575515138</v>
      </c>
    </row>
    <row r="26" spans="1:4" ht="13.5" customHeight="1">
      <c r="A26" s="10"/>
      <c r="B26" s="10"/>
      <c r="C26" s="14"/>
      <c r="D26" s="14"/>
    </row>
    <row r="27" spans="1:4" ht="18.75">
      <c r="A27" s="10" t="s">
        <v>34</v>
      </c>
      <c r="B27" s="10"/>
      <c r="C27" s="14">
        <v>687615</v>
      </c>
      <c r="D27" s="19">
        <f>C27/$C$31%</f>
        <v>2.2392360502887056</v>
      </c>
    </row>
    <row r="28" spans="1:4" ht="18.75">
      <c r="A28" s="10" t="s">
        <v>35</v>
      </c>
      <c r="B28" s="10"/>
      <c r="C28" s="14">
        <v>1127402</v>
      </c>
      <c r="D28" s="19">
        <f>C28/$C$31%</f>
        <v>3.671413802153221</v>
      </c>
    </row>
    <row r="29" spans="1:4" ht="18.75">
      <c r="A29" s="10" t="s">
        <v>36</v>
      </c>
      <c r="B29" s="10"/>
      <c r="C29" s="14">
        <v>132949</v>
      </c>
      <c r="D29" s="19">
        <f>C29/$C$31%</f>
        <v>0.4329518606339785</v>
      </c>
    </row>
    <row r="30" spans="1:5" ht="18.75">
      <c r="A30" s="10" t="s">
        <v>39</v>
      </c>
      <c r="B30" s="10"/>
      <c r="C30" s="20">
        <v>86200</v>
      </c>
      <c r="D30" s="19">
        <f>C30/$C$31%</f>
        <v>0.2807125317727019</v>
      </c>
      <c r="E30" s="2"/>
    </row>
    <row r="31" spans="1:5" ht="18.75">
      <c r="A31" s="10" t="s">
        <v>12</v>
      </c>
      <c r="B31" s="10"/>
      <c r="C31" s="19">
        <f>SUM(C25:C30)</f>
        <v>30707571</v>
      </c>
      <c r="D31" s="19">
        <f>C31/$C$31%</f>
        <v>100</v>
      </c>
      <c r="E31" s="2"/>
    </row>
    <row r="32" spans="1:4" ht="13.5" customHeight="1">
      <c r="A32" s="10"/>
      <c r="B32" s="10"/>
      <c r="C32" s="14"/>
      <c r="D32" s="14"/>
    </row>
    <row r="33" spans="1:5" ht="18.75">
      <c r="A33" s="10" t="s">
        <v>68</v>
      </c>
      <c r="B33" s="14" t="e">
        <f>#REF!-B9</f>
        <v>#REF!</v>
      </c>
      <c r="C33" s="36">
        <f>C7-SUM(C25:C30)</f>
        <v>-313803</v>
      </c>
      <c r="D33" s="36"/>
      <c r="E33" s="2"/>
    </row>
    <row r="34" spans="1:4" ht="13.5" customHeight="1">
      <c r="A34" s="10"/>
      <c r="B34" s="10"/>
      <c r="C34" s="14"/>
      <c r="D34" s="14"/>
    </row>
    <row r="35" spans="1:5" ht="18.75">
      <c r="A35" s="10" t="s">
        <v>7</v>
      </c>
      <c r="B35" s="10"/>
      <c r="C35" s="20">
        <v>1827035</v>
      </c>
      <c r="D35" s="19"/>
      <c r="E35" s="8"/>
    </row>
    <row r="36" spans="1:4" ht="13.5" customHeight="1">
      <c r="A36" s="10"/>
      <c r="B36" s="10"/>
      <c r="C36" s="14"/>
      <c r="D36" s="14"/>
    </row>
    <row r="37" spans="1:5" ht="19.5" thickBot="1">
      <c r="A37" s="10" t="s">
        <v>8</v>
      </c>
      <c r="B37" s="10"/>
      <c r="C37" s="31">
        <f>C33+C35</f>
        <v>1513232</v>
      </c>
      <c r="D37" s="19"/>
      <c r="E37" s="8"/>
    </row>
    <row r="38" spans="1:5" ht="19.5" thickTop="1">
      <c r="A38" s="10"/>
      <c r="B38" s="10"/>
      <c r="C38" s="19"/>
      <c r="D38" s="19"/>
      <c r="E38" s="8"/>
    </row>
    <row r="39" spans="1:5" ht="18.75">
      <c r="A39" s="10"/>
      <c r="B39" s="10"/>
      <c r="C39" s="19"/>
      <c r="D39" s="19"/>
      <c r="E39" s="8"/>
    </row>
    <row r="40" spans="1:5" ht="18.75">
      <c r="A40" s="10"/>
      <c r="B40" s="10"/>
      <c r="C40" s="19"/>
      <c r="D40" s="19"/>
      <c r="E40" s="8"/>
    </row>
    <row r="41" spans="1:5" ht="15">
      <c r="A41" s="15" t="s">
        <v>70</v>
      </c>
      <c r="B41" s="15"/>
      <c r="C41" s="40"/>
      <c r="D41" s="40"/>
      <c r="E41" s="8"/>
    </row>
    <row r="42" spans="1:5" ht="18.75">
      <c r="A42" s="10"/>
      <c r="B42" s="10"/>
      <c r="C42" s="19"/>
      <c r="D42" s="19"/>
      <c r="E42" s="8"/>
    </row>
    <row r="43" spans="1:5" ht="18.75">
      <c r="A43" s="10"/>
      <c r="B43" s="10"/>
      <c r="C43" s="19"/>
      <c r="D43" s="19"/>
      <c r="E43" s="8"/>
    </row>
    <row r="47" spans="1:7" ht="15" hidden="1">
      <c r="A47" t="s">
        <v>23</v>
      </c>
      <c r="E47" s="2"/>
      <c r="F47" s="2"/>
      <c r="G47" s="2"/>
    </row>
    <row r="48" spans="1:7" ht="15" hidden="1">
      <c r="A48" t="s">
        <v>24</v>
      </c>
      <c r="C48" s="2">
        <v>1887496</v>
      </c>
      <c r="E48" s="2"/>
      <c r="G48" s="2"/>
    </row>
    <row r="49" spans="1:4" ht="15" hidden="1">
      <c r="A49" t="s">
        <v>25</v>
      </c>
      <c r="C49" s="5">
        <v>895221</v>
      </c>
      <c r="D49" s="8"/>
    </row>
    <row r="50" spans="1:7" ht="15" hidden="1">
      <c r="A50" t="s">
        <v>5</v>
      </c>
      <c r="C50" s="8">
        <f>C48+C49</f>
        <v>2782717</v>
      </c>
      <c r="D50" s="8"/>
      <c r="F50" s="2"/>
      <c r="G50" s="2"/>
    </row>
    <row r="51" spans="1:6" ht="15" hidden="1">
      <c r="A51" t="s">
        <v>18</v>
      </c>
      <c r="C51" s="5">
        <v>1640655</v>
      </c>
      <c r="D51" s="8"/>
      <c r="E51" s="12"/>
      <c r="F51" s="2"/>
    </row>
    <row r="52" spans="1:4" ht="15.75" hidden="1" thickBot="1">
      <c r="A52" t="s">
        <v>19</v>
      </c>
      <c r="C52" s="6">
        <f>C50-C51</f>
        <v>1142062</v>
      </c>
      <c r="D52" s="8"/>
    </row>
  </sheetData>
  <sheetProtection/>
  <printOptions/>
  <pageMargins left="1.45" right="0.7" top="0.7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1.140625" style="0" customWidth="1"/>
    <col min="2" max="2" width="13.28125" style="0" bestFit="1" customWidth="1"/>
    <col min="3" max="3" width="11.7109375" style="0" bestFit="1" customWidth="1"/>
    <col min="4" max="4" width="36.140625" style="0" customWidth="1"/>
    <col min="5" max="6" width="11.7109375" style="0" bestFit="1" customWidth="1"/>
    <col min="8" max="8" width="12.7109375" style="0" bestFit="1" customWidth="1"/>
    <col min="9" max="9" width="11.7109375" style="0" bestFit="1" customWidth="1"/>
  </cols>
  <sheetData>
    <row r="2" spans="2:9" ht="15">
      <c r="B2" s="63" t="s">
        <v>133</v>
      </c>
      <c r="C2" s="63"/>
      <c r="D2" s="63"/>
      <c r="E2" s="63"/>
      <c r="F2" s="63"/>
      <c r="G2" s="63"/>
      <c r="H2" s="63"/>
      <c r="I2" s="63"/>
    </row>
    <row r="4" spans="2:9" s="56" customFormat="1" ht="15">
      <c r="B4" s="65" t="s">
        <v>134</v>
      </c>
      <c r="C4" s="65"/>
      <c r="E4" s="65" t="s">
        <v>135</v>
      </c>
      <c r="F4" s="65"/>
      <c r="H4" s="65" t="s">
        <v>5</v>
      </c>
      <c r="I4" s="65"/>
    </row>
    <row r="5" spans="2:9" s="58" customFormat="1" ht="15">
      <c r="B5" s="66" t="s">
        <v>136</v>
      </c>
      <c r="C5" s="66" t="s">
        <v>137</v>
      </c>
      <c r="D5" s="66"/>
      <c r="E5" s="66" t="s">
        <v>136</v>
      </c>
      <c r="F5" s="66" t="s">
        <v>137</v>
      </c>
      <c r="G5" s="66"/>
      <c r="H5" s="66" t="s">
        <v>136</v>
      </c>
      <c r="I5" s="66" t="s">
        <v>137</v>
      </c>
    </row>
    <row r="6" spans="1:9" s="58" customFormat="1" ht="15">
      <c r="A6" s="67" t="s">
        <v>138</v>
      </c>
      <c r="B6" s="66"/>
      <c r="C6" s="68">
        <f>'[1]competitive subfunds'!C40+'[1]competitive 12_21'!C188</f>
        <v>158659.03</v>
      </c>
      <c r="D6" s="66"/>
      <c r="E6" s="66"/>
      <c r="F6" s="68">
        <f>'[1]entitlement 12_21'!C55+'[1]entitlement subfunds'!C154</f>
        <v>815356.7799999999</v>
      </c>
      <c r="G6" s="66"/>
      <c r="H6" s="66"/>
      <c r="I6" s="68">
        <f>C6+F6</f>
        <v>974015.8099999999</v>
      </c>
    </row>
    <row r="7" spans="1:9" s="58" customFormat="1" ht="15">
      <c r="A7" s="67" t="s">
        <v>139</v>
      </c>
      <c r="B7" s="66"/>
      <c r="C7" s="68">
        <f>'[1]competitive subfunds'!C41+'[1]competitive 12_21'!C189</f>
        <v>295205.82000000007</v>
      </c>
      <c r="D7" s="66"/>
      <c r="E7" s="66"/>
      <c r="F7" s="68">
        <f>'[1]entitlement 12_21'!C56+'[1]entitlement subfunds'!C155</f>
        <v>333500.89999999997</v>
      </c>
      <c r="G7" s="66"/>
      <c r="H7" s="66"/>
      <c r="I7" s="68">
        <f>C7+F7</f>
        <v>628706.72</v>
      </c>
    </row>
    <row r="8" spans="1:9" s="58" customFormat="1" ht="15">
      <c r="A8" s="67" t="s">
        <v>52</v>
      </c>
      <c r="B8" s="66"/>
      <c r="C8" s="69">
        <f>'[1]competitive subfunds'!C42+'[1]competitive 12_21'!C190</f>
        <v>237256.96</v>
      </c>
      <c r="D8" s="66"/>
      <c r="E8" s="66"/>
      <c r="F8" s="70">
        <f>'[1]entitlement 12_21'!C57+'[1]entitlement subfunds'!C156</f>
        <v>458988.46</v>
      </c>
      <c r="G8" s="66"/>
      <c r="H8" s="66"/>
      <c r="I8" s="69">
        <f>C8+F8</f>
        <v>696245.42</v>
      </c>
    </row>
    <row r="9" spans="1:9" ht="15">
      <c r="A9" t="s">
        <v>140</v>
      </c>
      <c r="B9" s="68">
        <f>'[1]competitive subfunds'!D43+'[1]competitive 12_21'!D191</f>
        <v>1119983</v>
      </c>
      <c r="C9" s="68">
        <f>'[1]competitive subfunds'!C43+'[1]competitive 12_21'!C191</f>
        <v>691121.81</v>
      </c>
      <c r="D9" s="68"/>
      <c r="E9" s="68">
        <f>'[1]entitlement 12_21'!D58+'[1]entitlement subfunds'!D157</f>
        <v>1879406</v>
      </c>
      <c r="F9" s="68">
        <f>'[1]entitlement 12_21'!C58+'[1]entitlement subfunds'!C157</f>
        <v>1607846.1400000001</v>
      </c>
      <c r="G9" s="68"/>
      <c r="H9" s="68">
        <f>B9+E9</f>
        <v>2999389</v>
      </c>
      <c r="I9" s="68">
        <f>C9+F9</f>
        <v>2298967.95</v>
      </c>
    </row>
    <row r="10" spans="1:9" ht="15">
      <c r="A10" s="67" t="s">
        <v>141</v>
      </c>
      <c r="B10" s="68"/>
      <c r="C10" s="68">
        <f>'[1]competitive subfunds'!C44+'[1]competitive 12_21'!C192</f>
        <v>591434.93</v>
      </c>
      <c r="D10" s="68"/>
      <c r="E10" s="68"/>
      <c r="F10" s="68">
        <f>'[1]entitlement 12_21'!C59+'[1]entitlement subfunds'!C158</f>
        <v>1255850.3</v>
      </c>
      <c r="G10" s="68"/>
      <c r="H10" s="68"/>
      <c r="I10" s="68">
        <f>C10+F10</f>
        <v>1847285.23</v>
      </c>
    </row>
    <row r="11" spans="1:9" ht="15">
      <c r="A11" s="67" t="s">
        <v>55</v>
      </c>
      <c r="B11" s="68"/>
      <c r="C11" s="68">
        <f>'[1]competitive subfunds'!C45+'[1]competitive 12_21'!C193</f>
        <v>614876.48</v>
      </c>
      <c r="D11" s="68"/>
      <c r="E11" s="68"/>
      <c r="F11" s="68">
        <f>'[1]entitlement 12_21'!C60+'[1]entitlement subfunds'!C159</f>
        <v>802133.82</v>
      </c>
      <c r="G11" s="68"/>
      <c r="H11" s="68"/>
      <c r="I11" s="68">
        <f>C11+F11</f>
        <v>1417010.2999999998</v>
      </c>
    </row>
    <row r="12" spans="1:9" ht="15">
      <c r="A12" s="67" t="s">
        <v>54</v>
      </c>
      <c r="B12" s="68"/>
      <c r="C12" s="69">
        <f>'[1]competitive subfunds'!C46+'[1]competitive 12_21'!C194</f>
        <v>0</v>
      </c>
      <c r="D12" s="68"/>
      <c r="E12" s="68"/>
      <c r="F12" s="69">
        <f>'[1]entitlement 12_21'!C61+'[1]entitlement subfunds'!C160</f>
        <v>103001.35</v>
      </c>
      <c r="G12" s="68"/>
      <c r="H12" s="68"/>
      <c r="I12" s="69">
        <f>C12+F12</f>
        <v>103001.35</v>
      </c>
    </row>
    <row r="13" spans="1:9" ht="15">
      <c r="A13" t="s">
        <v>142</v>
      </c>
      <c r="B13" s="68">
        <f>'[1]competitive subfunds'!D47+'[1]competitive 12_21'!D195</f>
        <v>1232135</v>
      </c>
      <c r="C13" s="68">
        <f>'[1]competitive subfunds'!C47+'[1]competitive 12_21'!C195</f>
        <v>1206311.4100000001</v>
      </c>
      <c r="D13" s="68"/>
      <c r="E13" s="68">
        <f>'[1]entitlement 12_21'!D62+'[1]entitlement subfunds'!D161</f>
        <v>2891923</v>
      </c>
      <c r="F13" s="68">
        <f>'[1]entitlement 12_21'!C62+'[1]entitlement subfunds'!C161</f>
        <v>2160985.4699999997</v>
      </c>
      <c r="G13" s="68"/>
      <c r="H13" s="68">
        <f aca="true" t="shared" si="0" ref="H13:I18">B13+E13</f>
        <v>4124058</v>
      </c>
      <c r="I13" s="68">
        <f t="shared" si="0"/>
        <v>3367296.88</v>
      </c>
    </row>
    <row r="14" spans="1:9" ht="15">
      <c r="A14" t="s">
        <v>59</v>
      </c>
      <c r="B14" s="68">
        <f>'[1]competitive subfunds'!D48+'[1]competitive 12_21'!D196</f>
        <v>810856</v>
      </c>
      <c r="C14" s="68">
        <f>'[1]competitive subfunds'!C48+'[1]competitive 12_21'!C196</f>
        <v>568688.86</v>
      </c>
      <c r="D14" s="68"/>
      <c r="E14" s="68">
        <f>'[1]entitlement 12_21'!D63+'[1]entitlement subfunds'!D162</f>
        <v>1494366</v>
      </c>
      <c r="F14" s="68">
        <f>'[1]entitlement 12_21'!C63+'[1]entitlement subfunds'!C162</f>
        <v>1361908.31</v>
      </c>
      <c r="G14" s="68"/>
      <c r="H14" s="68">
        <f t="shared" si="0"/>
        <v>2305222</v>
      </c>
      <c r="I14" s="68">
        <f t="shared" si="0"/>
        <v>1930597.17</v>
      </c>
    </row>
    <row r="15" spans="1:9" ht="15">
      <c r="A15" t="s">
        <v>143</v>
      </c>
      <c r="B15" s="68">
        <f>'[1]competitive subfunds'!D49+'[1]competitive 12_21'!D197</f>
        <v>303989</v>
      </c>
      <c r="C15" s="68">
        <f>'[1]competitive subfunds'!C49+'[1]competitive 12_21'!C197</f>
        <v>109993.98</v>
      </c>
      <c r="D15" s="68"/>
      <c r="E15" s="68">
        <f>'[1]entitlement 12_21'!D64+'[1]entitlement subfunds'!D163</f>
        <v>1441744</v>
      </c>
      <c r="F15" s="68">
        <f>'[1]entitlement 12_21'!C64+'[1]entitlement subfunds'!C163</f>
        <v>159288.08000000002</v>
      </c>
      <c r="G15" s="68"/>
      <c r="H15" s="68">
        <f t="shared" si="0"/>
        <v>1745733</v>
      </c>
      <c r="I15" s="68">
        <f t="shared" si="0"/>
        <v>269282.06</v>
      </c>
    </row>
    <row r="16" spans="1:9" ht="15">
      <c r="A16" t="s">
        <v>61</v>
      </c>
      <c r="B16" s="68">
        <f>'[1]competitive subfunds'!D50+'[1]competitive 12_21'!D198</f>
        <v>1089303</v>
      </c>
      <c r="C16" s="68">
        <f>'[1]competitive subfunds'!C50+'[1]competitive 12_21'!C198</f>
        <v>407842.32999999996</v>
      </c>
      <c r="D16" s="68"/>
      <c r="E16" s="68">
        <f>'[1]entitlement 12_21'!D65+'[1]entitlement subfunds'!D164</f>
        <v>1087971</v>
      </c>
      <c r="F16" s="68">
        <f>'[1]entitlement 12_21'!C65+'[1]entitlement subfunds'!C164</f>
        <v>467007.26</v>
      </c>
      <c r="G16" s="68"/>
      <c r="H16" s="68">
        <f t="shared" si="0"/>
        <v>2177274</v>
      </c>
      <c r="I16" s="68">
        <f t="shared" si="0"/>
        <v>874849.59</v>
      </c>
    </row>
    <row r="17" spans="1:9" ht="15">
      <c r="A17" t="s">
        <v>62</v>
      </c>
      <c r="B17" s="68">
        <f>'[1]competitive subfunds'!D51+'[1]competitive 12_21'!D199</f>
        <v>14429</v>
      </c>
      <c r="C17" s="68">
        <f>'[1]competitive subfunds'!C51+'[1]competitive 12_21'!C199</f>
        <v>21936.32</v>
      </c>
      <c r="D17" s="68"/>
      <c r="E17" s="68">
        <f>'[1]entitlement 12_21'!D66+'[1]entitlement subfunds'!D165</f>
        <v>390649</v>
      </c>
      <c r="F17" s="68">
        <f>'[1]entitlement 12_21'!C66+'[1]entitlement subfunds'!C165</f>
        <v>229720.7</v>
      </c>
      <c r="G17" s="68"/>
      <c r="H17" s="68">
        <f t="shared" si="0"/>
        <v>405078</v>
      </c>
      <c r="I17" s="68">
        <f t="shared" si="0"/>
        <v>251657.02000000002</v>
      </c>
    </row>
    <row r="18" spans="1:9" ht="15">
      <c r="A18" t="s">
        <v>63</v>
      </c>
      <c r="B18" s="71">
        <f>'[1]competitive subfunds'!D52+'[1]competitive 12_21'!D200</f>
        <v>1358566</v>
      </c>
      <c r="C18" s="71">
        <f>'[1]competitive subfunds'!C52+'[1]competitive 12_21'!C200</f>
        <v>300188.44</v>
      </c>
      <c r="D18" s="68"/>
      <c r="E18" s="71">
        <f>'[1]entitlement 12_21'!D67+'[1]entitlement subfunds'!D166</f>
        <v>757286</v>
      </c>
      <c r="F18" s="71">
        <f>'[1]entitlement 12_21'!C67+'[1]entitlement subfunds'!C166</f>
        <v>340312.91</v>
      </c>
      <c r="G18" s="68"/>
      <c r="H18" s="71">
        <f t="shared" si="0"/>
        <v>2115852</v>
      </c>
      <c r="I18" s="71">
        <f t="shared" si="0"/>
        <v>640501.35</v>
      </c>
    </row>
    <row r="19" spans="1:9" ht="15">
      <c r="A19" t="s">
        <v>144</v>
      </c>
      <c r="B19" s="68">
        <f>SUM(B9:B18)</f>
        <v>5929261</v>
      </c>
      <c r="C19" s="68">
        <f>SUM(C6:C18)-C9-C13</f>
        <v>3306083.1500000022</v>
      </c>
      <c r="D19" s="68"/>
      <c r="E19" s="68">
        <f>SUM(E9:E18)</f>
        <v>9943345</v>
      </c>
      <c r="F19" s="68">
        <f>SUM(F6:F18)-F9-F13</f>
        <v>6327068.869999998</v>
      </c>
      <c r="G19" s="68"/>
      <c r="H19" s="68">
        <f>B19+E19</f>
        <v>15872606</v>
      </c>
      <c r="I19" s="68">
        <f>SUM(I6:I18)-I9-I13</f>
        <v>9633152.02</v>
      </c>
    </row>
    <row r="22" spans="1:8" ht="15">
      <c r="A22" t="s">
        <v>145</v>
      </c>
      <c r="B22" s="72">
        <v>472533</v>
      </c>
      <c r="D22" t="s">
        <v>146</v>
      </c>
      <c r="E22" s="72">
        <v>1238943</v>
      </c>
      <c r="F22" s="67"/>
      <c r="G22" s="68"/>
      <c r="H22" s="68"/>
    </row>
    <row r="23" spans="1:8" ht="15">
      <c r="A23" t="s">
        <v>147</v>
      </c>
      <c r="B23" s="72">
        <v>1371541</v>
      </c>
      <c r="D23" s="67" t="s">
        <v>148</v>
      </c>
      <c r="E23" s="73">
        <v>133017</v>
      </c>
      <c r="F23" s="67"/>
      <c r="G23" s="68"/>
      <c r="H23" s="68"/>
    </row>
    <row r="24" spans="1:8" ht="15">
      <c r="A24" t="s">
        <v>149</v>
      </c>
      <c r="B24" s="72">
        <v>64530</v>
      </c>
      <c r="D24" s="67" t="s">
        <v>150</v>
      </c>
      <c r="E24" s="73">
        <v>60586</v>
      </c>
      <c r="F24" s="67"/>
      <c r="G24" s="68"/>
      <c r="H24" s="68"/>
    </row>
    <row r="25" spans="1:8" ht="15">
      <c r="A25" t="s">
        <v>151</v>
      </c>
      <c r="B25" s="72">
        <v>9191</v>
      </c>
      <c r="D25" s="67" t="s">
        <v>152</v>
      </c>
      <c r="E25" s="73">
        <v>29543</v>
      </c>
      <c r="F25" s="67"/>
      <c r="G25" s="68"/>
      <c r="H25" s="68"/>
    </row>
    <row r="26" spans="1:8" ht="15">
      <c r="A26" t="s">
        <v>153</v>
      </c>
      <c r="B26" s="72">
        <v>431271</v>
      </c>
      <c r="D26" s="67" t="s">
        <v>154</v>
      </c>
      <c r="E26" s="73">
        <v>36774</v>
      </c>
      <c r="F26" s="67"/>
      <c r="G26" s="68"/>
      <c r="H26" s="68"/>
    </row>
    <row r="27" spans="1:8" ht="15">
      <c r="A27" t="s">
        <v>155</v>
      </c>
      <c r="B27" s="72">
        <f>285643+349568</f>
        <v>635211</v>
      </c>
      <c r="D27" s="67" t="s">
        <v>156</v>
      </c>
      <c r="E27" s="73">
        <v>34773</v>
      </c>
      <c r="F27" s="67"/>
      <c r="G27" s="68"/>
      <c r="H27" s="68"/>
    </row>
    <row r="28" spans="1:8" ht="15">
      <c r="A28" t="s">
        <v>157</v>
      </c>
      <c r="B28" s="72">
        <v>97416</v>
      </c>
      <c r="D28" s="67" t="s">
        <v>158</v>
      </c>
      <c r="E28" s="73">
        <v>250491</v>
      </c>
      <c r="F28" s="67"/>
      <c r="G28" s="68"/>
      <c r="H28" s="68"/>
    </row>
    <row r="29" spans="1:8" ht="15">
      <c r="A29" t="s">
        <v>159</v>
      </c>
      <c r="B29" s="72">
        <v>17440</v>
      </c>
      <c r="D29" s="67" t="s">
        <v>160</v>
      </c>
      <c r="E29" s="73">
        <v>46195</v>
      </c>
      <c r="F29" s="67"/>
      <c r="G29" s="68"/>
      <c r="H29" s="68"/>
    </row>
    <row r="30" spans="1:8" ht="15">
      <c r="A30" t="s">
        <v>161</v>
      </c>
      <c r="B30" s="72">
        <f>169138+96819</f>
        <v>265957</v>
      </c>
      <c r="D30" s="67" t="s">
        <v>162</v>
      </c>
      <c r="E30" s="73">
        <v>230572</v>
      </c>
      <c r="F30" s="67"/>
      <c r="G30" s="68"/>
      <c r="H30" s="68"/>
    </row>
    <row r="31" spans="1:8" ht="15">
      <c r="A31" t="s">
        <v>163</v>
      </c>
      <c r="B31" s="72">
        <v>89394</v>
      </c>
      <c r="D31" s="67" t="s">
        <v>164</v>
      </c>
      <c r="E31" s="73">
        <v>1136191</v>
      </c>
      <c r="F31" s="67"/>
      <c r="G31" s="68"/>
      <c r="H31" s="68"/>
    </row>
    <row r="32" spans="1:8" ht="15">
      <c r="A32" t="s">
        <v>165</v>
      </c>
      <c r="B32" s="72">
        <v>833333</v>
      </c>
      <c r="D32" s="67" t="s">
        <v>166</v>
      </c>
      <c r="E32" s="73">
        <v>739961</v>
      </c>
      <c r="F32" s="67"/>
      <c r="G32" s="68"/>
      <c r="H32" s="68"/>
    </row>
    <row r="33" spans="1:8" ht="15">
      <c r="A33" t="s">
        <v>167</v>
      </c>
      <c r="B33" s="72">
        <v>19978</v>
      </c>
      <c r="D33" s="67" t="s">
        <v>168</v>
      </c>
      <c r="E33" s="73">
        <f>1457775+317361</f>
        <v>1775136</v>
      </c>
      <c r="F33" s="67"/>
      <c r="G33" s="68"/>
      <c r="H33" s="68"/>
    </row>
    <row r="34" spans="1:8" ht="15">
      <c r="A34" t="s">
        <v>169</v>
      </c>
      <c r="B34" s="72">
        <v>78570</v>
      </c>
      <c r="D34" s="67" t="s">
        <v>170</v>
      </c>
      <c r="E34" s="73">
        <v>42327</v>
      </c>
      <c r="F34" s="67"/>
      <c r="G34" s="68"/>
      <c r="H34" s="68"/>
    </row>
    <row r="35" spans="1:8" ht="15">
      <c r="A35" t="s">
        <v>171</v>
      </c>
      <c r="B35" s="72">
        <v>180500</v>
      </c>
      <c r="D35" s="67" t="s">
        <v>172</v>
      </c>
      <c r="E35" s="73">
        <v>227235</v>
      </c>
      <c r="F35" s="67"/>
      <c r="G35" s="68"/>
      <c r="H35" s="68"/>
    </row>
    <row r="36" spans="1:8" ht="15">
      <c r="A36" t="s">
        <v>173</v>
      </c>
      <c r="B36" s="72">
        <v>27000</v>
      </c>
      <c r="D36" s="67" t="s">
        <v>174</v>
      </c>
      <c r="E36" s="73">
        <v>418196</v>
      </c>
      <c r="F36" s="67"/>
      <c r="G36" s="68"/>
      <c r="H36" s="68"/>
    </row>
    <row r="37" spans="1:8" ht="15">
      <c r="A37" t="s">
        <v>175</v>
      </c>
      <c r="B37" s="72">
        <v>6043</v>
      </c>
      <c r="D37" s="67" t="s">
        <v>176</v>
      </c>
      <c r="E37" s="73">
        <f>519576+243138</f>
        <v>762714</v>
      </c>
      <c r="F37" s="67"/>
      <c r="G37" s="68"/>
      <c r="H37" s="68"/>
    </row>
    <row r="38" spans="1:8" ht="15">
      <c r="A38" t="s">
        <v>177</v>
      </c>
      <c r="B38" s="72">
        <v>1700</v>
      </c>
      <c r="D38" s="67" t="s">
        <v>178</v>
      </c>
      <c r="E38" s="73">
        <v>2353581</v>
      </c>
      <c r="F38" s="67"/>
      <c r="G38" s="68"/>
      <c r="H38" s="68"/>
    </row>
    <row r="39" spans="1:8" ht="15">
      <c r="A39" t="s">
        <v>179</v>
      </c>
      <c r="B39" s="72">
        <v>637480</v>
      </c>
      <c r="D39" s="67" t="s">
        <v>180</v>
      </c>
      <c r="E39" s="73">
        <v>149084</v>
      </c>
      <c r="F39" s="67"/>
      <c r="G39" s="68"/>
      <c r="H39" s="68"/>
    </row>
    <row r="40" spans="1:8" ht="15">
      <c r="A40" t="s">
        <v>181</v>
      </c>
      <c r="B40" s="72">
        <v>24000</v>
      </c>
      <c r="D40" s="67" t="s">
        <v>182</v>
      </c>
      <c r="E40" s="71">
        <v>278026</v>
      </c>
      <c r="F40" s="67"/>
      <c r="G40" s="68"/>
      <c r="H40" s="68"/>
    </row>
    <row r="41" spans="1:8" ht="15">
      <c r="A41" t="s">
        <v>183</v>
      </c>
      <c r="B41" s="72">
        <v>30400</v>
      </c>
      <c r="D41" s="74" t="s">
        <v>144</v>
      </c>
      <c r="E41" s="75">
        <f>SUM(E22:E40)</f>
        <v>9943345</v>
      </c>
      <c r="F41" s="67"/>
      <c r="G41" s="68"/>
      <c r="H41" s="68"/>
    </row>
    <row r="42" spans="1:8" ht="15">
      <c r="A42" t="s">
        <v>184</v>
      </c>
      <c r="B42" s="72">
        <v>80926</v>
      </c>
      <c r="F42" s="67"/>
      <c r="G42" s="71"/>
      <c r="H42" s="71"/>
    </row>
    <row r="43" spans="1:8" ht="15">
      <c r="A43" t="s">
        <v>185</v>
      </c>
      <c r="B43" s="72">
        <v>11557</v>
      </c>
      <c r="G43" s="68"/>
      <c r="H43" s="68"/>
    </row>
    <row r="44" spans="1:2" ht="15">
      <c r="A44" t="s">
        <v>186</v>
      </c>
      <c r="B44" s="72">
        <v>100000</v>
      </c>
    </row>
    <row r="45" spans="1:2" ht="15">
      <c r="A45" t="s">
        <v>187</v>
      </c>
      <c r="B45" s="72">
        <v>300852</v>
      </c>
    </row>
    <row r="46" spans="1:2" ht="15">
      <c r="A46" t="s">
        <v>188</v>
      </c>
      <c r="B46" s="72">
        <v>128438</v>
      </c>
    </row>
    <row r="47" spans="1:2" ht="15">
      <c r="A47" t="s">
        <v>189</v>
      </c>
      <c r="B47" s="76">
        <v>14000</v>
      </c>
    </row>
    <row r="48" spans="1:2" ht="15">
      <c r="A48" s="74" t="s">
        <v>144</v>
      </c>
      <c r="B48" s="77">
        <f>SUM(B22:B47)</f>
        <v>5929261</v>
      </c>
    </row>
    <row r="49" ht="15">
      <c r="B49" s="77"/>
    </row>
    <row r="50" ht="17.25">
      <c r="B50" s="78"/>
    </row>
  </sheetData>
  <sheetProtection/>
  <mergeCells count="4">
    <mergeCell ref="B2:I2"/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X13" sqref="X13"/>
    </sheetView>
  </sheetViews>
  <sheetFormatPr defaultColWidth="9.140625" defaultRowHeight="15"/>
  <cols>
    <col min="1" max="1" width="34.421875" style="0" customWidth="1"/>
    <col min="2" max="2" width="1.8515625" style="0" hidden="1" customWidth="1"/>
    <col min="3" max="4" width="14.00390625" style="2" customWidth="1"/>
    <col min="5" max="13" width="0" style="2" hidden="1" customWidth="1"/>
    <col min="14" max="18" width="9.140625" style="2" hidden="1" customWidth="1"/>
    <col min="19" max="19" width="0" style="0" hidden="1" customWidth="1"/>
  </cols>
  <sheetData>
    <row r="1" spans="1:4" ht="18.75">
      <c r="A1" s="10" t="s">
        <v>10</v>
      </c>
      <c r="B1" s="10"/>
      <c r="C1" s="14"/>
      <c r="D1" s="14"/>
    </row>
    <row r="2" spans="1:4" ht="18.75">
      <c r="A2" s="10" t="s">
        <v>77</v>
      </c>
      <c r="B2" s="10"/>
      <c r="C2" s="14"/>
      <c r="D2" s="14"/>
    </row>
    <row r="3" spans="1:4" ht="18.75">
      <c r="A3" s="10"/>
      <c r="B3" s="10"/>
      <c r="C3" s="14"/>
      <c r="D3" s="14"/>
    </row>
    <row r="4" spans="1:4" ht="18.75">
      <c r="A4" s="10"/>
      <c r="B4" s="10"/>
      <c r="C4" s="14"/>
      <c r="D4" s="14"/>
    </row>
    <row r="5" spans="1:18" ht="18.75">
      <c r="A5" s="10" t="s">
        <v>78</v>
      </c>
      <c r="B5" s="10"/>
      <c r="C5" s="14">
        <v>5000</v>
      </c>
      <c r="D5" s="14">
        <v>5000</v>
      </c>
      <c r="E5" s="2">
        <v>5000</v>
      </c>
      <c r="F5" s="2">
        <v>5000</v>
      </c>
      <c r="G5" s="2">
        <v>5000</v>
      </c>
      <c r="H5" s="2">
        <v>5000</v>
      </c>
      <c r="I5" s="2">
        <v>5000</v>
      </c>
      <c r="J5" s="2">
        <v>5000</v>
      </c>
      <c r="K5" s="2">
        <v>5000</v>
      </c>
      <c r="L5" s="2">
        <v>5000</v>
      </c>
      <c r="M5" s="2">
        <v>5000</v>
      </c>
      <c r="N5" s="2">
        <v>5000</v>
      </c>
      <c r="O5" s="2">
        <v>5000</v>
      </c>
      <c r="P5" s="2">
        <v>5000</v>
      </c>
      <c r="Q5" s="2">
        <v>5000</v>
      </c>
      <c r="R5" s="2">
        <v>5000</v>
      </c>
    </row>
    <row r="6" spans="1:18" ht="18.75">
      <c r="A6" s="10" t="s">
        <v>79</v>
      </c>
      <c r="B6" s="10"/>
      <c r="C6" s="42">
        <v>17.5</v>
      </c>
      <c r="D6" s="42">
        <v>14.3</v>
      </c>
      <c r="E6" s="43">
        <v>15.8</v>
      </c>
      <c r="F6" s="43">
        <v>15.7</v>
      </c>
      <c r="G6" s="43">
        <v>15.6</v>
      </c>
      <c r="H6" s="43">
        <v>15.5</v>
      </c>
      <c r="I6" s="43">
        <v>15.4</v>
      </c>
      <c r="J6" s="43">
        <v>15.3</v>
      </c>
      <c r="K6" s="43">
        <v>15.2</v>
      </c>
      <c r="L6" s="43">
        <v>15.1</v>
      </c>
      <c r="M6" s="43">
        <v>15</v>
      </c>
      <c r="N6" s="43">
        <v>14.9</v>
      </c>
      <c r="O6" s="43">
        <v>14.8</v>
      </c>
      <c r="P6" s="43">
        <v>14.7</v>
      </c>
      <c r="Q6" s="43">
        <v>14.6</v>
      </c>
      <c r="R6" s="43">
        <v>14.5</v>
      </c>
    </row>
    <row r="7" spans="1:18" ht="18.75">
      <c r="A7" s="10" t="s">
        <v>80</v>
      </c>
      <c r="B7" s="10"/>
      <c r="C7" s="14">
        <f>(C5/C6)/2</f>
        <v>142.85714285714286</v>
      </c>
      <c r="D7" s="14">
        <f>(D5/D6)/2</f>
        <v>174.82517482517483</v>
      </c>
      <c r="E7" s="2">
        <f>(E5/E6)/2</f>
        <v>158.2278481012658</v>
      </c>
      <c r="F7" s="2">
        <f>(F5/F6)/2</f>
        <v>159.23566878980893</v>
      </c>
      <c r="G7" s="2">
        <f aca="true" t="shared" si="0" ref="G7:L7">(G5/G6)/2</f>
        <v>160.25641025641025</v>
      </c>
      <c r="H7" s="2">
        <f t="shared" si="0"/>
        <v>161.29032258064515</v>
      </c>
      <c r="I7" s="2">
        <f t="shared" si="0"/>
        <v>162.33766233766232</v>
      </c>
      <c r="J7" s="2">
        <f t="shared" si="0"/>
        <v>163.3986928104575</v>
      </c>
      <c r="K7" s="2">
        <f t="shared" si="0"/>
        <v>164.47368421052633</v>
      </c>
      <c r="L7" s="2">
        <f t="shared" si="0"/>
        <v>165.56291390728478</v>
      </c>
      <c r="M7" s="2">
        <f aca="true" t="shared" si="1" ref="M7:R7">(M5/M6)/2</f>
        <v>166.66666666666666</v>
      </c>
      <c r="N7" s="2">
        <f t="shared" si="1"/>
        <v>167.78523489932886</v>
      </c>
      <c r="O7" s="2">
        <f t="shared" si="1"/>
        <v>168.9189189189189</v>
      </c>
      <c r="P7" s="2">
        <f t="shared" si="1"/>
        <v>170.06802721088437</v>
      </c>
      <c r="Q7" s="2">
        <f t="shared" si="1"/>
        <v>171.23287671232876</v>
      </c>
      <c r="R7" s="2">
        <f t="shared" si="1"/>
        <v>172.41379310344828</v>
      </c>
    </row>
    <row r="8" spans="1:18" ht="18.75">
      <c r="A8" s="10" t="s">
        <v>81</v>
      </c>
      <c r="B8" s="10" t="s">
        <v>82</v>
      </c>
      <c r="C8" s="44">
        <f aca="true" t="shared" si="2" ref="C8:R8">$C$20</f>
        <v>64.21</v>
      </c>
      <c r="D8" s="44">
        <f t="shared" si="2"/>
        <v>64.21</v>
      </c>
      <c r="E8" s="45">
        <f t="shared" si="2"/>
        <v>64.21</v>
      </c>
      <c r="F8" s="45">
        <f t="shared" si="2"/>
        <v>64.21</v>
      </c>
      <c r="G8" s="45">
        <f t="shared" si="2"/>
        <v>64.21</v>
      </c>
      <c r="H8" s="45">
        <f t="shared" si="2"/>
        <v>64.21</v>
      </c>
      <c r="I8" s="45">
        <f t="shared" si="2"/>
        <v>64.21</v>
      </c>
      <c r="J8" s="45">
        <f t="shared" si="2"/>
        <v>64.21</v>
      </c>
      <c r="K8" s="45">
        <f t="shared" si="2"/>
        <v>64.21</v>
      </c>
      <c r="L8" s="45">
        <f t="shared" si="2"/>
        <v>64.21</v>
      </c>
      <c r="M8" s="45">
        <f t="shared" si="2"/>
        <v>64.21</v>
      </c>
      <c r="N8" s="45">
        <f t="shared" si="2"/>
        <v>64.21</v>
      </c>
      <c r="O8" s="45">
        <f t="shared" si="2"/>
        <v>64.21</v>
      </c>
      <c r="P8" s="45">
        <f t="shared" si="2"/>
        <v>64.21</v>
      </c>
      <c r="Q8" s="45">
        <f t="shared" si="2"/>
        <v>64.21</v>
      </c>
      <c r="R8" s="45">
        <f t="shared" si="2"/>
        <v>64.21</v>
      </c>
    </row>
    <row r="9" spans="1:18" ht="18.75">
      <c r="A9" s="10" t="s">
        <v>83</v>
      </c>
      <c r="B9" s="10"/>
      <c r="C9" s="14">
        <f>C7-C8</f>
        <v>78.64714285714287</v>
      </c>
      <c r="D9" s="14">
        <f>D7-D8</f>
        <v>110.61517482517483</v>
      </c>
      <c r="E9" s="2">
        <f>E7-E8</f>
        <v>94.01784810126581</v>
      </c>
      <c r="F9" s="2">
        <f>F7-F8</f>
        <v>95.02566878980893</v>
      </c>
      <c r="G9" s="2">
        <f aca="true" t="shared" si="3" ref="G9:L9">G7-G8</f>
        <v>96.04641025641025</v>
      </c>
      <c r="H9" s="2">
        <f t="shared" si="3"/>
        <v>97.08032258064516</v>
      </c>
      <c r="I9" s="2">
        <f t="shared" si="3"/>
        <v>98.12766233766233</v>
      </c>
      <c r="J9" s="2">
        <f t="shared" si="3"/>
        <v>99.18869281045751</v>
      </c>
      <c r="K9" s="2">
        <f t="shared" si="3"/>
        <v>100.26368421052634</v>
      </c>
      <c r="L9" s="2">
        <f t="shared" si="3"/>
        <v>101.35291390728479</v>
      </c>
      <c r="M9" s="2">
        <f aca="true" t="shared" si="4" ref="M9:R9">M7-M8</f>
        <v>102.45666666666666</v>
      </c>
      <c r="N9" s="2">
        <f t="shared" si="4"/>
        <v>103.57523489932886</v>
      </c>
      <c r="O9" s="2">
        <f t="shared" si="4"/>
        <v>104.70891891891891</v>
      </c>
      <c r="P9" s="2">
        <f t="shared" si="4"/>
        <v>105.85802721088437</v>
      </c>
      <c r="Q9" s="2">
        <f t="shared" si="4"/>
        <v>107.02287671232877</v>
      </c>
      <c r="R9" s="2">
        <f t="shared" si="4"/>
        <v>108.20379310344829</v>
      </c>
    </row>
    <row r="10" spans="1:18" ht="18.75">
      <c r="A10" s="10" t="s">
        <v>84</v>
      </c>
      <c r="B10" s="10"/>
      <c r="C10" s="14">
        <f>C9*540</f>
        <v>42469.45714285715</v>
      </c>
      <c r="D10" s="14">
        <f>D9*540</f>
        <v>59732.19440559441</v>
      </c>
      <c r="E10" s="2">
        <f>E9*540</f>
        <v>50769.63797468354</v>
      </c>
      <c r="F10" s="2">
        <f>F9*540</f>
        <v>51313.86114649683</v>
      </c>
      <c r="G10" s="2">
        <f aca="true" t="shared" si="5" ref="G10:L10">G9*540</f>
        <v>51865.06153846154</v>
      </c>
      <c r="H10" s="2">
        <f t="shared" si="5"/>
        <v>52423.374193548385</v>
      </c>
      <c r="I10" s="2">
        <f t="shared" si="5"/>
        <v>52988.93766233766</v>
      </c>
      <c r="J10" s="2">
        <f t="shared" si="5"/>
        <v>53561.894117647054</v>
      </c>
      <c r="K10" s="2">
        <f t="shared" si="5"/>
        <v>54142.38947368422</v>
      </c>
      <c r="L10" s="2">
        <f t="shared" si="5"/>
        <v>54730.57350993378</v>
      </c>
      <c r="M10" s="2">
        <f aca="true" t="shared" si="6" ref="M10:R10">M9*540</f>
        <v>55326.6</v>
      </c>
      <c r="N10" s="2">
        <f t="shared" si="6"/>
        <v>55930.626845637584</v>
      </c>
      <c r="O10" s="2">
        <f t="shared" si="6"/>
        <v>56542.81621621621</v>
      </c>
      <c r="P10" s="2">
        <f t="shared" si="6"/>
        <v>57163.334693877565</v>
      </c>
      <c r="Q10" s="2">
        <f t="shared" si="6"/>
        <v>57792.35342465754</v>
      </c>
      <c r="R10" s="2">
        <f t="shared" si="6"/>
        <v>58430.04827586208</v>
      </c>
    </row>
    <row r="11" spans="1:18" ht="18.75">
      <c r="A11" s="10" t="s">
        <v>85</v>
      </c>
      <c r="B11" s="10"/>
      <c r="C11" s="14">
        <v>84</v>
      </c>
      <c r="D11" s="14">
        <v>84</v>
      </c>
      <c r="E11" s="2">
        <f aca="true" t="shared" si="7" ref="E11:R11">80*1.05</f>
        <v>84</v>
      </c>
      <c r="F11" s="2">
        <f t="shared" si="7"/>
        <v>84</v>
      </c>
      <c r="G11" s="2">
        <f t="shared" si="7"/>
        <v>84</v>
      </c>
      <c r="H11" s="2">
        <f t="shared" si="7"/>
        <v>84</v>
      </c>
      <c r="I11" s="2">
        <f t="shared" si="7"/>
        <v>84</v>
      </c>
      <c r="J11" s="2">
        <f t="shared" si="7"/>
        <v>84</v>
      </c>
      <c r="K11" s="2">
        <f t="shared" si="7"/>
        <v>84</v>
      </c>
      <c r="L11" s="2">
        <f t="shared" si="7"/>
        <v>84</v>
      </c>
      <c r="M11" s="2">
        <f t="shared" si="7"/>
        <v>84</v>
      </c>
      <c r="N11" s="2">
        <f t="shared" si="7"/>
        <v>84</v>
      </c>
      <c r="O11" s="2">
        <f t="shared" si="7"/>
        <v>84</v>
      </c>
      <c r="P11" s="2">
        <f t="shared" si="7"/>
        <v>84</v>
      </c>
      <c r="Q11" s="2">
        <f t="shared" si="7"/>
        <v>84</v>
      </c>
      <c r="R11" s="2">
        <f t="shared" si="7"/>
        <v>84</v>
      </c>
    </row>
    <row r="12" spans="1:18" ht="18.75">
      <c r="A12" s="10" t="s">
        <v>86</v>
      </c>
      <c r="B12" s="10"/>
      <c r="C12" s="14">
        <f>C10*C11</f>
        <v>3567434.400000001</v>
      </c>
      <c r="D12" s="14">
        <f>D10*D11</f>
        <v>5017504.33006993</v>
      </c>
      <c r="E12" s="2">
        <f>E10*E11</f>
        <v>4264649.589873417</v>
      </c>
      <c r="F12" s="2">
        <f>F10*F11</f>
        <v>4310364.336305734</v>
      </c>
      <c r="G12" s="2">
        <f aca="true" t="shared" si="8" ref="G12:L12">G10*G11</f>
        <v>4356665.169230769</v>
      </c>
      <c r="H12" s="2">
        <f t="shared" si="8"/>
        <v>4403563.432258064</v>
      </c>
      <c r="I12" s="2">
        <f t="shared" si="8"/>
        <v>4451070.763636364</v>
      </c>
      <c r="J12" s="2">
        <f t="shared" si="8"/>
        <v>4499199.105882352</v>
      </c>
      <c r="K12" s="2">
        <f t="shared" si="8"/>
        <v>4547960.715789475</v>
      </c>
      <c r="L12" s="2">
        <f t="shared" si="8"/>
        <v>4597368.174834438</v>
      </c>
      <c r="M12" s="46">
        <f aca="true" t="shared" si="9" ref="M12:R12">M10*M11</f>
        <v>4647434.399999999</v>
      </c>
      <c r="N12" s="2">
        <f t="shared" si="9"/>
        <v>4698172.655033557</v>
      </c>
      <c r="O12" s="47">
        <f t="shared" si="9"/>
        <v>4749596.562162162</v>
      </c>
      <c r="P12" s="2">
        <f t="shared" si="9"/>
        <v>4801720.114285716</v>
      </c>
      <c r="Q12" s="2">
        <f t="shared" si="9"/>
        <v>4854557.687671233</v>
      </c>
      <c r="R12" s="2">
        <f t="shared" si="9"/>
        <v>4908124.0551724145</v>
      </c>
    </row>
    <row r="13" spans="1:4" ht="18.75">
      <c r="A13" s="10"/>
      <c r="B13" s="10"/>
      <c r="C13" s="14"/>
      <c r="D13" s="14"/>
    </row>
    <row r="14" spans="1:18" ht="18.75">
      <c r="A14" s="10" t="s">
        <v>87</v>
      </c>
      <c r="B14" s="10"/>
      <c r="C14" s="14"/>
      <c r="D14" s="14">
        <f>D12-$C$12</f>
        <v>1450069.9300699295</v>
      </c>
      <c r="E14" s="2">
        <f aca="true" t="shared" si="10" ref="E14:R14">E12-$C$12</f>
        <v>697215.1898734164</v>
      </c>
      <c r="F14" s="2">
        <f t="shared" si="10"/>
        <v>742929.9363057329</v>
      </c>
      <c r="G14" s="2">
        <f t="shared" si="10"/>
        <v>789230.7692307686</v>
      </c>
      <c r="H14" s="2">
        <f t="shared" si="10"/>
        <v>836129.0322580631</v>
      </c>
      <c r="I14" s="2">
        <f t="shared" si="10"/>
        <v>883636.3636363628</v>
      </c>
      <c r="J14" s="2">
        <f t="shared" si="10"/>
        <v>931764.7058823514</v>
      </c>
      <c r="K14" s="2">
        <f t="shared" si="10"/>
        <v>980526.3157894737</v>
      </c>
      <c r="L14" s="2">
        <f t="shared" si="10"/>
        <v>1029933.7748344368</v>
      </c>
      <c r="M14" s="2">
        <f t="shared" si="10"/>
        <v>1079999.9999999986</v>
      </c>
      <c r="N14" s="2">
        <f t="shared" si="10"/>
        <v>1130738.255033556</v>
      </c>
      <c r="O14" s="2">
        <f t="shared" si="10"/>
        <v>1182162.162162161</v>
      </c>
      <c r="P14" s="2">
        <f t="shared" si="10"/>
        <v>1234285.714285715</v>
      </c>
      <c r="Q14" s="2">
        <f t="shared" si="10"/>
        <v>1287123.2876712321</v>
      </c>
      <c r="R14" s="2">
        <f t="shared" si="10"/>
        <v>1340689.6551724137</v>
      </c>
    </row>
    <row r="18" spans="1:18" ht="15" hidden="1">
      <c r="A18" t="s">
        <v>88</v>
      </c>
      <c r="C18" s="45">
        <v>69.21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5" hidden="1">
      <c r="A19" t="s">
        <v>89</v>
      </c>
      <c r="B19">
        <v>5</v>
      </c>
      <c r="C19" s="45">
        <v>5</v>
      </c>
      <c r="D19" s="45" t="s">
        <v>90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3:18" ht="15.75" hidden="1" thickBot="1">
      <c r="C20" s="48">
        <f>C18-C19</f>
        <v>64.21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3:18" ht="15">
      <c r="C21" s="4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ht="15">
      <c r="C22" s="45"/>
    </row>
    <row r="23" ht="15">
      <c r="C23" s="45"/>
    </row>
    <row r="24" ht="15">
      <c r="C24" s="4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4.7109375" style="0" customWidth="1"/>
    <col min="3" max="3" width="9.7109375" style="0" customWidth="1"/>
    <col min="4" max="4" width="10.00390625" style="0" customWidth="1"/>
    <col min="5" max="5" width="11.7109375" style="0" customWidth="1"/>
    <col min="18" max="18" width="22.421875" style="0" bestFit="1" customWidth="1"/>
    <col min="19" max="21" width="16.7109375" style="0" customWidth="1"/>
  </cols>
  <sheetData>
    <row r="1" ht="15">
      <c r="A1" t="s">
        <v>91</v>
      </c>
    </row>
    <row r="7" spans="2:15" ht="15">
      <c r="B7" t="s">
        <v>0</v>
      </c>
      <c r="C7" t="s">
        <v>92</v>
      </c>
      <c r="D7" t="s">
        <v>93</v>
      </c>
      <c r="E7" t="s">
        <v>94</v>
      </c>
      <c r="F7" t="s">
        <v>95</v>
      </c>
      <c r="G7" t="s">
        <v>96</v>
      </c>
      <c r="H7" t="s">
        <v>97</v>
      </c>
      <c r="I7" t="s">
        <v>98</v>
      </c>
      <c r="J7" t="s">
        <v>99</v>
      </c>
      <c r="K7" t="s">
        <v>100</v>
      </c>
      <c r="L7" t="s">
        <v>101</v>
      </c>
      <c r="M7" t="s">
        <v>102</v>
      </c>
      <c r="N7" s="1" t="s">
        <v>103</v>
      </c>
      <c r="O7" t="s">
        <v>104</v>
      </c>
    </row>
    <row r="8" spans="2:15" ht="15">
      <c r="B8" t="s">
        <v>105</v>
      </c>
      <c r="C8">
        <v>6287</v>
      </c>
      <c r="D8">
        <v>6411.84</v>
      </c>
      <c r="E8">
        <v>6909.59</v>
      </c>
      <c r="F8" s="43">
        <v>6753.11</v>
      </c>
      <c r="G8" s="43">
        <v>6270.89</v>
      </c>
      <c r="H8" s="43">
        <v>5469.36</v>
      </c>
      <c r="I8" s="43">
        <v>5488.9</v>
      </c>
      <c r="J8" s="43">
        <v>5099.22</v>
      </c>
      <c r="K8" s="43">
        <v>4955.4</v>
      </c>
      <c r="L8" s="43">
        <v>4915.3</v>
      </c>
      <c r="M8" s="43">
        <v>4901</v>
      </c>
      <c r="N8" s="43">
        <v>5231.38</v>
      </c>
      <c r="O8" s="43">
        <v>3222.8</v>
      </c>
    </row>
    <row r="9" spans="2:20" ht="15">
      <c r="B9" t="s">
        <v>106</v>
      </c>
      <c r="C9">
        <v>408</v>
      </c>
      <c r="D9">
        <v>398.879</v>
      </c>
      <c r="E9">
        <v>397.795</v>
      </c>
      <c r="F9">
        <v>382.884</v>
      </c>
      <c r="G9">
        <v>351.516</v>
      </c>
      <c r="H9">
        <v>332.166</v>
      </c>
      <c r="I9">
        <v>349.457</v>
      </c>
      <c r="J9">
        <v>356.998</v>
      </c>
      <c r="K9">
        <v>353</v>
      </c>
      <c r="L9">
        <v>339.1</v>
      </c>
      <c r="M9">
        <v>335.2</v>
      </c>
      <c r="N9">
        <v>341.82</v>
      </c>
      <c r="O9">
        <v>201.43</v>
      </c>
      <c r="R9" s="50">
        <f>655494+S18</f>
        <v>1176576.4808441345</v>
      </c>
      <c r="S9" s="50">
        <f>679452+T18</f>
        <v>1317412.2572717674</v>
      </c>
      <c r="T9" s="50">
        <f>677116+U18</f>
        <v>1316073.4408348934</v>
      </c>
    </row>
    <row r="10" spans="2:20" ht="15">
      <c r="B10" t="s">
        <v>107</v>
      </c>
      <c r="C10">
        <f>C8/C9</f>
        <v>15.409313725490197</v>
      </c>
      <c r="D10">
        <f>D8/D9</f>
        <v>16.074649204395318</v>
      </c>
      <c r="E10">
        <f>E8/E9</f>
        <v>17.369725612438568</v>
      </c>
      <c r="F10">
        <f>F8/F9</f>
        <v>17.637482892991088</v>
      </c>
      <c r="G10">
        <f aca="true" t="shared" si="0" ref="G10:O10">G8/G9</f>
        <v>17.839557801067375</v>
      </c>
      <c r="H10">
        <f t="shared" si="0"/>
        <v>16.46574303209841</v>
      </c>
      <c r="I10">
        <f t="shared" si="0"/>
        <v>15.706939623472987</v>
      </c>
      <c r="J10">
        <f t="shared" si="0"/>
        <v>14.283609431985614</v>
      </c>
      <c r="K10">
        <f t="shared" si="0"/>
        <v>14.037960339943341</v>
      </c>
      <c r="L10">
        <f t="shared" si="0"/>
        <v>14.495134178708344</v>
      </c>
      <c r="M10">
        <f t="shared" si="0"/>
        <v>14.621121718377088</v>
      </c>
      <c r="N10">
        <f t="shared" si="0"/>
        <v>15.30448774208648</v>
      </c>
      <c r="O10">
        <f t="shared" si="0"/>
        <v>15.999602839696173</v>
      </c>
      <c r="R10">
        <f>7877523+500000</f>
        <v>8377523</v>
      </c>
      <c r="S10">
        <f>8989948+500000</f>
        <v>9489948</v>
      </c>
      <c r="T10">
        <f>8895318+500000</f>
        <v>9395318</v>
      </c>
    </row>
    <row r="11" spans="18:20" ht="15">
      <c r="R11" s="51">
        <f>R9/R10</f>
        <v>0.14044443457142816</v>
      </c>
      <c r="S11" s="51">
        <f>S9/S10</f>
        <v>0.13882186259311088</v>
      </c>
      <c r="T11" s="51">
        <f>T9/T10</f>
        <v>0.14007758341281193</v>
      </c>
    </row>
    <row r="12" spans="2:15" ht="15">
      <c r="B12" t="s">
        <v>1</v>
      </c>
      <c r="C12" t="s">
        <v>92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98</v>
      </c>
      <c r="J12" t="s">
        <v>99</v>
      </c>
      <c r="K12" t="s">
        <v>100</v>
      </c>
      <c r="L12" t="s">
        <v>101</v>
      </c>
      <c r="M12" t="s">
        <v>102</v>
      </c>
      <c r="N12" s="1" t="s">
        <v>103</v>
      </c>
      <c r="O12" t="s">
        <v>104</v>
      </c>
    </row>
    <row r="13" spans="2:21" ht="15">
      <c r="B13" t="s">
        <v>105</v>
      </c>
      <c r="C13">
        <v>16887</v>
      </c>
      <c r="D13">
        <v>17794.12</v>
      </c>
      <c r="E13">
        <v>18457.01</v>
      </c>
      <c r="F13" s="43">
        <v>17440.38</v>
      </c>
      <c r="G13" s="43">
        <v>16979.33</v>
      </c>
      <c r="H13" s="43">
        <v>16711.91</v>
      </c>
      <c r="I13" s="43">
        <v>17017.47</v>
      </c>
      <c r="J13" s="43">
        <v>16960.5</v>
      </c>
      <c r="K13" s="43">
        <v>17136.6</v>
      </c>
      <c r="L13" s="43">
        <v>16910.1</v>
      </c>
      <c r="M13" s="43">
        <v>16849.7</v>
      </c>
      <c r="N13" s="43">
        <v>16961.75</v>
      </c>
      <c r="O13" s="43">
        <v>9224.58</v>
      </c>
      <c r="S13" s="52" t="s">
        <v>97</v>
      </c>
      <c r="T13" s="52" t="s">
        <v>98</v>
      </c>
      <c r="U13" s="52" t="s">
        <v>99</v>
      </c>
    </row>
    <row r="14" spans="2:21" ht="15">
      <c r="B14" t="s">
        <v>106</v>
      </c>
      <c r="C14">
        <v>1073</v>
      </c>
      <c r="D14">
        <v>1055.837</v>
      </c>
      <c r="E14">
        <v>1050.993</v>
      </c>
      <c r="F14" s="43">
        <v>1004.271</v>
      </c>
      <c r="G14">
        <v>976.368</v>
      </c>
      <c r="H14">
        <v>967.404</v>
      </c>
      <c r="I14" s="43">
        <v>1030.508</v>
      </c>
      <c r="J14">
        <v>1058.529</v>
      </c>
      <c r="K14">
        <v>1081.8</v>
      </c>
      <c r="L14">
        <v>1085.7</v>
      </c>
      <c r="M14">
        <v>1057.5</v>
      </c>
      <c r="N14">
        <v>1056.28</v>
      </c>
      <c r="O14">
        <v>585.63</v>
      </c>
      <c r="R14" t="s">
        <v>108</v>
      </c>
      <c r="S14" s="53">
        <v>2097</v>
      </c>
      <c r="T14" s="53">
        <v>2310</v>
      </c>
      <c r="U14" s="53">
        <v>2345</v>
      </c>
    </row>
    <row r="15" spans="2:21" ht="15">
      <c r="B15" t="s">
        <v>107</v>
      </c>
      <c r="C15">
        <f>C13/C14</f>
        <v>15.7381174277726</v>
      </c>
      <c r="D15">
        <f>D13/D14</f>
        <v>16.853093801410633</v>
      </c>
      <c r="E15">
        <f>E13/E14</f>
        <v>17.56149660368813</v>
      </c>
      <c r="F15">
        <f>F13/F14</f>
        <v>17.366208921695442</v>
      </c>
      <c r="G15">
        <f aca="true" t="shared" si="1" ref="G15:O15">G13/G14</f>
        <v>17.390297510774626</v>
      </c>
      <c r="H15">
        <f t="shared" si="1"/>
        <v>17.275006098796368</v>
      </c>
      <c r="I15">
        <f t="shared" si="1"/>
        <v>16.513670927348453</v>
      </c>
      <c r="J15">
        <f t="shared" si="1"/>
        <v>16.022706982992435</v>
      </c>
      <c r="K15">
        <f t="shared" si="1"/>
        <v>15.840820854132001</v>
      </c>
      <c r="L15">
        <f t="shared" si="1"/>
        <v>15.575297043382148</v>
      </c>
      <c r="M15">
        <f t="shared" si="1"/>
        <v>15.933522458628842</v>
      </c>
      <c r="N15">
        <f t="shared" si="1"/>
        <v>16.058005453099558</v>
      </c>
      <c r="O15">
        <f t="shared" si="1"/>
        <v>15.751549613237026</v>
      </c>
      <c r="R15" t="s">
        <v>109</v>
      </c>
      <c r="S15" s="54">
        <v>17.28</v>
      </c>
      <c r="T15" s="54">
        <v>16.51</v>
      </c>
      <c r="U15" s="54">
        <v>16.02</v>
      </c>
    </row>
    <row r="16" spans="18:21" ht="15">
      <c r="R16" t="s">
        <v>110</v>
      </c>
      <c r="S16" s="54">
        <f>(S14/S15)/2</f>
        <v>60.67708333333333</v>
      </c>
      <c r="T16" s="54">
        <f>(T14/T15)/2</f>
        <v>69.95760145366444</v>
      </c>
      <c r="U16" s="54">
        <f>(U14/U15)/2</f>
        <v>73.18976279650437</v>
      </c>
    </row>
    <row r="17" spans="2:21" ht="15">
      <c r="B17" t="s">
        <v>2</v>
      </c>
      <c r="C17" t="s">
        <v>92</v>
      </c>
      <c r="D17" t="s">
        <v>93</v>
      </c>
      <c r="E17" t="s">
        <v>94</v>
      </c>
      <c r="F17" t="s">
        <v>95</v>
      </c>
      <c r="G17" t="s">
        <v>96</v>
      </c>
      <c r="H17" t="s">
        <v>97</v>
      </c>
      <c r="I17" t="s">
        <v>98</v>
      </c>
      <c r="J17" t="s">
        <v>99</v>
      </c>
      <c r="K17" t="s">
        <v>100</v>
      </c>
      <c r="L17" t="s">
        <v>101</v>
      </c>
      <c r="M17" t="s">
        <v>102</v>
      </c>
      <c r="N17" s="1" t="s">
        <v>103</v>
      </c>
      <c r="O17" t="s">
        <v>104</v>
      </c>
      <c r="R17" t="s">
        <v>111</v>
      </c>
      <c r="S17" s="55">
        <f>($O$23*R23)+($O$24*R24)</f>
        <v>8587.797109190888</v>
      </c>
      <c r="T17" s="55">
        <f>($O$23*S23)+($O$24*S24)</f>
        <v>9119.241426456174</v>
      </c>
      <c r="U17" s="55">
        <f>($O$23*T23)+($O$24*T24)</f>
        <v>8730.147720405113</v>
      </c>
    </row>
    <row r="18" spans="2:21" ht="15">
      <c r="B18" t="s">
        <v>105</v>
      </c>
      <c r="C18">
        <v>7467</v>
      </c>
      <c r="D18">
        <v>8656.28</v>
      </c>
      <c r="E18">
        <v>9359.83</v>
      </c>
      <c r="F18" s="43">
        <v>8665.5</v>
      </c>
      <c r="G18" s="43">
        <v>7890.83</v>
      </c>
      <c r="H18" s="43">
        <v>7472.82</v>
      </c>
      <c r="I18" s="43">
        <v>7516.04</v>
      </c>
      <c r="J18" s="43">
        <v>7691.86</v>
      </c>
      <c r="K18" s="43">
        <v>7773.3</v>
      </c>
      <c r="L18" s="43">
        <v>7613.6</v>
      </c>
      <c r="M18" s="43">
        <v>7601.6</v>
      </c>
      <c r="N18" s="43">
        <v>7901.33</v>
      </c>
      <c r="O18" s="43">
        <v>4420.26</v>
      </c>
      <c r="R18" s="56" t="s">
        <v>112</v>
      </c>
      <c r="S18" s="57">
        <f>(R23*S16*$O$23)+($O$24*R24*S16)</f>
        <v>521082.4808441345</v>
      </c>
      <c r="T18" s="57">
        <f>(S23*T16*$O$23)+($O$24*S24*T16)</f>
        <v>637960.2572717674</v>
      </c>
      <c r="U18" s="57">
        <f>(T23*U16*$O$23)+($O$24*T24*U16)</f>
        <v>638957.4408348935</v>
      </c>
    </row>
    <row r="19" spans="2:21" ht="22.5" customHeight="1">
      <c r="B19" t="s">
        <v>106</v>
      </c>
      <c r="C19">
        <v>496</v>
      </c>
      <c r="D19">
        <v>538.325</v>
      </c>
      <c r="E19">
        <v>547.751</v>
      </c>
      <c r="F19">
        <v>484.287</v>
      </c>
      <c r="G19">
        <v>433.691</v>
      </c>
      <c r="H19">
        <v>432.131</v>
      </c>
      <c r="I19">
        <v>455.293</v>
      </c>
      <c r="J19">
        <v>481.566</v>
      </c>
      <c r="K19">
        <v>491.3</v>
      </c>
      <c r="L19">
        <v>489.5</v>
      </c>
      <c r="M19">
        <v>482.2</v>
      </c>
      <c r="N19">
        <v>491.93</v>
      </c>
      <c r="O19">
        <v>270.22</v>
      </c>
      <c r="R19" s="63" t="s">
        <v>113</v>
      </c>
      <c r="S19" s="63"/>
      <c r="T19" s="63"/>
      <c r="U19" s="63"/>
    </row>
    <row r="20" spans="2:15" ht="15">
      <c r="B20" t="s">
        <v>107</v>
      </c>
      <c r="C20">
        <f>C18/C19</f>
        <v>15.054435483870968</v>
      </c>
      <c r="D20">
        <f>D18/D19</f>
        <v>16.08002600659453</v>
      </c>
      <c r="E20">
        <f>E18/E19</f>
        <v>17.08774607440242</v>
      </c>
      <c r="F20">
        <f>F18/F19</f>
        <v>17.89331532748143</v>
      </c>
      <c r="G20">
        <f aca="true" t="shared" si="2" ref="G20:O20">G18/G19</f>
        <v>18.194590157508458</v>
      </c>
      <c r="H20">
        <f t="shared" si="2"/>
        <v>17.29295051731998</v>
      </c>
      <c r="I20">
        <f t="shared" si="2"/>
        <v>16.508138715069197</v>
      </c>
      <c r="J20">
        <f t="shared" si="2"/>
        <v>15.972597733228675</v>
      </c>
      <c r="K20">
        <f t="shared" si="2"/>
        <v>15.821901078770608</v>
      </c>
      <c r="L20">
        <f t="shared" si="2"/>
        <v>15.553830439223699</v>
      </c>
      <c r="M20">
        <f t="shared" si="2"/>
        <v>15.764413106594775</v>
      </c>
      <c r="N20">
        <f t="shared" si="2"/>
        <v>16.06189905067794</v>
      </c>
      <c r="O20">
        <f t="shared" si="2"/>
        <v>16.358004588853525</v>
      </c>
    </row>
    <row r="22" spans="2:15" ht="15">
      <c r="B22" t="s">
        <v>114</v>
      </c>
      <c r="C22" t="s">
        <v>92</v>
      </c>
      <c r="D22" t="s">
        <v>93</v>
      </c>
      <c r="E22" t="s">
        <v>94</v>
      </c>
      <c r="F22" t="s">
        <v>95</v>
      </c>
      <c r="G22" t="s">
        <v>96</v>
      </c>
      <c r="H22" t="s">
        <v>97</v>
      </c>
      <c r="I22" t="s">
        <v>98</v>
      </c>
      <c r="J22" t="s">
        <v>99</v>
      </c>
      <c r="K22" t="s">
        <v>100</v>
      </c>
      <c r="L22" t="s">
        <v>101</v>
      </c>
      <c r="M22" t="s">
        <v>102</v>
      </c>
      <c r="N22" s="1" t="s">
        <v>103</v>
      </c>
      <c r="O22" t="s">
        <v>104</v>
      </c>
    </row>
    <row r="23" spans="2:20" ht="15">
      <c r="B23" t="s">
        <v>105</v>
      </c>
      <c r="C23">
        <f>C8+C13+C18</f>
        <v>30641</v>
      </c>
      <c r="D23">
        <f>D8+D13+D18</f>
        <v>32862.24</v>
      </c>
      <c r="E23">
        <f aca="true" t="shared" si="3" ref="E23:O24">E8+E13+E18</f>
        <v>34726.43</v>
      </c>
      <c r="F23">
        <f t="shared" si="3"/>
        <v>32858.990000000005</v>
      </c>
      <c r="G23">
        <f t="shared" si="3"/>
        <v>31141.050000000003</v>
      </c>
      <c r="H23">
        <f t="shared" si="3"/>
        <v>29654.09</v>
      </c>
      <c r="I23">
        <f t="shared" si="3"/>
        <v>30022.410000000003</v>
      </c>
      <c r="J23">
        <f t="shared" si="3"/>
        <v>29751.58</v>
      </c>
      <c r="K23">
        <f t="shared" si="3"/>
        <v>29865.3</v>
      </c>
      <c r="L23">
        <f t="shared" si="3"/>
        <v>29439</v>
      </c>
      <c r="M23">
        <f t="shared" si="3"/>
        <v>29352.300000000003</v>
      </c>
      <c r="N23">
        <f t="shared" si="3"/>
        <v>30094.46</v>
      </c>
      <c r="O23">
        <f t="shared" si="3"/>
        <v>16867.64</v>
      </c>
      <c r="R23">
        <v>0.4763026970411103</v>
      </c>
      <c r="S23">
        <v>0.5099163729640674</v>
      </c>
      <c r="T23">
        <v>0.4853063257512867</v>
      </c>
    </row>
    <row r="24" spans="2:20" ht="15">
      <c r="B24" t="s">
        <v>106</v>
      </c>
      <c r="C24">
        <f>C9+C14+C19</f>
        <v>1977</v>
      </c>
      <c r="D24">
        <f>D9+D14+D19</f>
        <v>1993.041</v>
      </c>
      <c r="E24">
        <f t="shared" si="3"/>
        <v>1996.539</v>
      </c>
      <c r="F24">
        <f t="shared" si="3"/>
        <v>1871.442</v>
      </c>
      <c r="G24">
        <f t="shared" si="3"/>
        <v>1761.575</v>
      </c>
      <c r="H24">
        <f t="shared" si="3"/>
        <v>1731.701</v>
      </c>
      <c r="I24">
        <f t="shared" si="3"/>
        <v>1835.2580000000003</v>
      </c>
      <c r="J24">
        <f t="shared" si="3"/>
        <v>1897.093</v>
      </c>
      <c r="K24">
        <f t="shared" si="3"/>
        <v>1926.1</v>
      </c>
      <c r="L24">
        <f t="shared" si="3"/>
        <v>1914.3000000000002</v>
      </c>
      <c r="M24">
        <f t="shared" si="3"/>
        <v>1874.9</v>
      </c>
      <c r="N24">
        <f t="shared" si="3"/>
        <v>1890.03</v>
      </c>
      <c r="O24">
        <f t="shared" si="3"/>
        <v>1057.28</v>
      </c>
      <c r="R24">
        <f>1-R23</f>
        <v>0.5236973029588897</v>
      </c>
      <c r="S24">
        <f>1-S23</f>
        <v>0.49008362703593256</v>
      </c>
      <c r="T24">
        <f>1-T23</f>
        <v>0.5146936742487134</v>
      </c>
    </row>
    <row r="25" spans="2:15" ht="15">
      <c r="B25" t="s">
        <v>107</v>
      </c>
      <c r="C25">
        <f>C23/C24</f>
        <v>15.498735457764289</v>
      </c>
      <c r="D25">
        <f>D23/D24</f>
        <v>16.488491706894138</v>
      </c>
      <c r="E25">
        <f>E23/E24</f>
        <v>17.39331413010214</v>
      </c>
      <c r="F25">
        <f>F23/F24</f>
        <v>17.558112941785</v>
      </c>
      <c r="G25">
        <f aca="true" t="shared" si="4" ref="G25:O25">G23/G24</f>
        <v>17.677958644962604</v>
      </c>
      <c r="H25">
        <f t="shared" si="4"/>
        <v>17.12425528425519</v>
      </c>
      <c r="I25">
        <f t="shared" si="4"/>
        <v>16.358686353635292</v>
      </c>
      <c r="J25">
        <f t="shared" si="4"/>
        <v>15.682720878733937</v>
      </c>
      <c r="K25">
        <f t="shared" si="4"/>
        <v>15.505581226312238</v>
      </c>
      <c r="L25">
        <f t="shared" si="4"/>
        <v>15.378467324870709</v>
      </c>
      <c r="M25">
        <f t="shared" si="4"/>
        <v>15.655394954397568</v>
      </c>
      <c r="N25">
        <f t="shared" si="4"/>
        <v>15.922741967058723</v>
      </c>
      <c r="O25">
        <f t="shared" si="4"/>
        <v>15.953805992736077</v>
      </c>
    </row>
    <row r="28" spans="2:11" ht="18.75">
      <c r="B28" s="64" t="s">
        <v>115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3:15" ht="22.5" customHeight="1">
      <c r="C29" t="s">
        <v>92</v>
      </c>
      <c r="D29" s="1" t="s">
        <v>93</v>
      </c>
      <c r="E29" s="1" t="s">
        <v>94</v>
      </c>
      <c r="F29" s="1" t="s">
        <v>95</v>
      </c>
      <c r="G29" s="1" t="s">
        <v>96</v>
      </c>
      <c r="H29" s="1" t="s">
        <v>97</v>
      </c>
      <c r="I29" s="1" t="s">
        <v>98</v>
      </c>
      <c r="J29" s="1" t="s">
        <v>99</v>
      </c>
      <c r="K29" s="1" t="s">
        <v>100</v>
      </c>
      <c r="L29" s="1" t="s">
        <v>101</v>
      </c>
      <c r="M29" s="1" t="s">
        <v>102</v>
      </c>
      <c r="N29" s="1" t="s">
        <v>103</v>
      </c>
      <c r="O29" t="s">
        <v>104</v>
      </c>
    </row>
    <row r="30" spans="2:17" ht="15">
      <c r="B30" t="s">
        <v>0</v>
      </c>
      <c r="C30" s="59">
        <f>C10</f>
        <v>15.409313725490197</v>
      </c>
      <c r="D30" s="59">
        <f>D10</f>
        <v>16.074649204395318</v>
      </c>
      <c r="E30" s="59">
        <f aca="true" t="shared" si="5" ref="E30:J30">E10</f>
        <v>17.369725612438568</v>
      </c>
      <c r="F30" s="59">
        <f t="shared" si="5"/>
        <v>17.637482892991088</v>
      </c>
      <c r="G30" s="59">
        <f t="shared" si="5"/>
        <v>17.839557801067375</v>
      </c>
      <c r="H30" s="59">
        <f t="shared" si="5"/>
        <v>16.46574303209841</v>
      </c>
      <c r="I30" s="59">
        <f t="shared" si="5"/>
        <v>15.706939623472987</v>
      </c>
      <c r="J30" s="59">
        <f t="shared" si="5"/>
        <v>14.283609431985614</v>
      </c>
      <c r="K30" s="59">
        <f>K10</f>
        <v>14.037960339943341</v>
      </c>
      <c r="L30" s="59">
        <f>L10</f>
        <v>14.495134178708344</v>
      </c>
      <c r="M30" s="59">
        <f>M10</f>
        <v>14.621121718377088</v>
      </c>
      <c r="N30" s="59">
        <f>N10</f>
        <v>15.30448774208648</v>
      </c>
      <c r="O30" s="59">
        <f>O10</f>
        <v>15.999602839696173</v>
      </c>
      <c r="P30" s="59"/>
      <c r="Q30" s="59"/>
    </row>
    <row r="31" spans="2:17" ht="15">
      <c r="B31" t="s">
        <v>1</v>
      </c>
      <c r="C31" s="59">
        <f>C15</f>
        <v>15.7381174277726</v>
      </c>
      <c r="D31" s="59">
        <f>D15</f>
        <v>16.853093801410633</v>
      </c>
      <c r="E31" s="59">
        <f aca="true" t="shared" si="6" ref="E31:O31">E15</f>
        <v>17.56149660368813</v>
      </c>
      <c r="F31" s="59">
        <f t="shared" si="6"/>
        <v>17.366208921695442</v>
      </c>
      <c r="G31" s="59">
        <f t="shared" si="6"/>
        <v>17.390297510774626</v>
      </c>
      <c r="H31" s="59">
        <f t="shared" si="6"/>
        <v>17.275006098796368</v>
      </c>
      <c r="I31" s="59">
        <f t="shared" si="6"/>
        <v>16.513670927348453</v>
      </c>
      <c r="J31" s="59">
        <f t="shared" si="6"/>
        <v>16.022706982992435</v>
      </c>
      <c r="K31" s="59">
        <f t="shared" si="6"/>
        <v>15.840820854132001</v>
      </c>
      <c r="L31" s="59">
        <f t="shared" si="6"/>
        <v>15.575297043382148</v>
      </c>
      <c r="M31" s="59">
        <f t="shared" si="6"/>
        <v>15.933522458628842</v>
      </c>
      <c r="N31" s="59">
        <f t="shared" si="6"/>
        <v>16.058005453099558</v>
      </c>
      <c r="O31" s="59">
        <f t="shared" si="6"/>
        <v>15.751549613237026</v>
      </c>
      <c r="P31" s="59"/>
      <c r="Q31" s="59"/>
    </row>
    <row r="32" spans="2:17" ht="15">
      <c r="B32" t="s">
        <v>2</v>
      </c>
      <c r="C32" s="59">
        <f>C20</f>
        <v>15.054435483870968</v>
      </c>
      <c r="D32" s="59">
        <f>D20</f>
        <v>16.08002600659453</v>
      </c>
      <c r="E32" s="59">
        <f aca="true" t="shared" si="7" ref="E32:O32">E20</f>
        <v>17.08774607440242</v>
      </c>
      <c r="F32" s="59">
        <f t="shared" si="7"/>
        <v>17.89331532748143</v>
      </c>
      <c r="G32" s="59">
        <f t="shared" si="7"/>
        <v>18.194590157508458</v>
      </c>
      <c r="H32" s="59">
        <f t="shared" si="7"/>
        <v>17.29295051731998</v>
      </c>
      <c r="I32" s="59">
        <f t="shared" si="7"/>
        <v>16.508138715069197</v>
      </c>
      <c r="J32" s="59">
        <f t="shared" si="7"/>
        <v>15.972597733228675</v>
      </c>
      <c r="K32" s="59">
        <f t="shared" si="7"/>
        <v>15.821901078770608</v>
      </c>
      <c r="L32" s="59">
        <f t="shared" si="7"/>
        <v>15.553830439223699</v>
      </c>
      <c r="M32" s="59">
        <f t="shared" si="7"/>
        <v>15.764413106594775</v>
      </c>
      <c r="N32" s="59">
        <f t="shared" si="7"/>
        <v>16.06189905067794</v>
      </c>
      <c r="O32" s="59">
        <f t="shared" si="7"/>
        <v>16.358004588853525</v>
      </c>
      <c r="P32" s="59"/>
      <c r="Q32" s="59"/>
    </row>
    <row r="33" spans="2:17" ht="15">
      <c r="B33" t="s">
        <v>116</v>
      </c>
      <c r="C33" s="60">
        <f>C25</f>
        <v>15.498735457764289</v>
      </c>
      <c r="D33" s="60">
        <f>D25</f>
        <v>16.488491706894138</v>
      </c>
      <c r="E33" s="60">
        <f aca="true" t="shared" si="8" ref="E33:O33">E25</f>
        <v>17.39331413010214</v>
      </c>
      <c r="F33" s="60">
        <f t="shared" si="8"/>
        <v>17.558112941785</v>
      </c>
      <c r="G33" s="60">
        <f t="shared" si="8"/>
        <v>17.677958644962604</v>
      </c>
      <c r="H33" s="60">
        <f t="shared" si="8"/>
        <v>17.12425528425519</v>
      </c>
      <c r="I33" s="60">
        <f t="shared" si="8"/>
        <v>16.358686353635292</v>
      </c>
      <c r="J33" s="60">
        <f t="shared" si="8"/>
        <v>15.682720878733937</v>
      </c>
      <c r="K33" s="60">
        <f t="shared" si="8"/>
        <v>15.505581226312238</v>
      </c>
      <c r="L33" s="60">
        <f t="shared" si="8"/>
        <v>15.378467324870709</v>
      </c>
      <c r="M33" s="60">
        <f t="shared" si="8"/>
        <v>15.655394954397568</v>
      </c>
      <c r="N33" s="60">
        <f t="shared" si="8"/>
        <v>15.922741967058723</v>
      </c>
      <c r="O33" s="60">
        <f t="shared" si="8"/>
        <v>15.953805992736077</v>
      </c>
      <c r="P33" s="60"/>
      <c r="Q33" s="60"/>
    </row>
    <row r="36" spans="2:15" ht="15">
      <c r="B36" t="s">
        <v>117</v>
      </c>
      <c r="C36" t="s">
        <v>92</v>
      </c>
      <c r="D36" t="s">
        <v>93</v>
      </c>
      <c r="E36" t="s">
        <v>94</v>
      </c>
      <c r="F36" t="s">
        <v>95</v>
      </c>
      <c r="G36" t="s">
        <v>96</v>
      </c>
      <c r="H36" t="s">
        <v>97</v>
      </c>
      <c r="I36" t="s">
        <v>98</v>
      </c>
      <c r="J36" t="s">
        <v>99</v>
      </c>
      <c r="K36" t="s">
        <v>100</v>
      </c>
      <c r="L36" t="s">
        <v>101</v>
      </c>
      <c r="M36" s="1" t="s">
        <v>102</v>
      </c>
      <c r="N36" s="1" t="s">
        <v>103</v>
      </c>
      <c r="O36" t="s">
        <v>104</v>
      </c>
    </row>
    <row r="37" spans="2:15" ht="15">
      <c r="B37" t="s">
        <v>118</v>
      </c>
      <c r="C37" s="61">
        <v>0.047</v>
      </c>
      <c r="D37" s="61">
        <v>0.062</v>
      </c>
      <c r="E37" s="61">
        <v>0.102</v>
      </c>
      <c r="F37" s="61">
        <v>0.111</v>
      </c>
      <c r="G37" s="61">
        <v>0.104</v>
      </c>
      <c r="H37" s="61">
        <v>0.09</v>
      </c>
      <c r="I37" s="61">
        <v>0.075</v>
      </c>
      <c r="J37" s="61">
        <v>0.062</v>
      </c>
      <c r="K37" s="61">
        <v>0.05</v>
      </c>
      <c r="L37" s="61">
        <v>0.038</v>
      </c>
      <c r="M37" s="61">
        <v>0.033</v>
      </c>
      <c r="N37" s="61">
        <v>0.033</v>
      </c>
      <c r="O37" s="61">
        <v>0.027</v>
      </c>
    </row>
    <row r="40" spans="3:15" ht="15">
      <c r="C40" s="62" t="s">
        <v>119</v>
      </c>
      <c r="D40" s="62" t="s">
        <v>120</v>
      </c>
      <c r="E40" s="62" t="s">
        <v>121</v>
      </c>
      <c r="F40" s="62" t="s">
        <v>122</v>
      </c>
      <c r="G40" s="62" t="s">
        <v>123</v>
      </c>
      <c r="H40" s="62" t="s">
        <v>124</v>
      </c>
      <c r="I40" s="62" t="s">
        <v>125</v>
      </c>
      <c r="J40" s="62" t="s">
        <v>126</v>
      </c>
      <c r="K40" s="62" t="s">
        <v>127</v>
      </c>
      <c r="L40" s="62" t="s">
        <v>128</v>
      </c>
      <c r="M40" s="62" t="s">
        <v>129</v>
      </c>
      <c r="N40" s="62" t="s">
        <v>130</v>
      </c>
      <c r="O40" s="62" t="s">
        <v>131</v>
      </c>
    </row>
    <row r="41" spans="2:15" ht="15">
      <c r="B41" t="str">
        <f>B33</f>
        <v>District Productivity Ratio (FTES/FTEF)</v>
      </c>
      <c r="C41" s="59">
        <f aca="true" t="shared" si="9" ref="C41:O41">C33</f>
        <v>15.498735457764289</v>
      </c>
      <c r="D41" s="59">
        <f t="shared" si="9"/>
        <v>16.488491706894138</v>
      </c>
      <c r="E41" s="59">
        <f t="shared" si="9"/>
        <v>17.39331413010214</v>
      </c>
      <c r="F41" s="59">
        <f t="shared" si="9"/>
        <v>17.558112941785</v>
      </c>
      <c r="G41" s="59">
        <f t="shared" si="9"/>
        <v>17.677958644962604</v>
      </c>
      <c r="H41" s="59">
        <f t="shared" si="9"/>
        <v>17.12425528425519</v>
      </c>
      <c r="I41" s="59">
        <f t="shared" si="9"/>
        <v>16.358686353635292</v>
      </c>
      <c r="J41" s="59">
        <f t="shared" si="9"/>
        <v>15.682720878733937</v>
      </c>
      <c r="K41" s="59">
        <f t="shared" si="9"/>
        <v>15.505581226312238</v>
      </c>
      <c r="L41" s="59">
        <f t="shared" si="9"/>
        <v>15.378467324870709</v>
      </c>
      <c r="M41" s="59">
        <f t="shared" si="9"/>
        <v>15.655394954397568</v>
      </c>
      <c r="N41" s="59">
        <f t="shared" si="9"/>
        <v>15.922741967058723</v>
      </c>
      <c r="O41" s="59">
        <f t="shared" si="9"/>
        <v>15.953805992736077</v>
      </c>
    </row>
    <row r="42" spans="2:15" ht="15">
      <c r="B42" t="s">
        <v>132</v>
      </c>
      <c r="C42" s="61">
        <f>C37</f>
        <v>0.047</v>
      </c>
      <c r="D42" s="61">
        <f>D37</f>
        <v>0.062</v>
      </c>
      <c r="E42" s="61">
        <f aca="true" t="shared" si="10" ref="E42:O42">E37</f>
        <v>0.102</v>
      </c>
      <c r="F42" s="61">
        <f t="shared" si="10"/>
        <v>0.111</v>
      </c>
      <c r="G42" s="61">
        <f t="shared" si="10"/>
        <v>0.104</v>
      </c>
      <c r="H42" s="61">
        <f t="shared" si="10"/>
        <v>0.09</v>
      </c>
      <c r="I42" s="61">
        <f t="shared" si="10"/>
        <v>0.075</v>
      </c>
      <c r="J42" s="61">
        <f t="shared" si="10"/>
        <v>0.062</v>
      </c>
      <c r="K42" s="61">
        <f t="shared" si="10"/>
        <v>0.05</v>
      </c>
      <c r="L42" s="61">
        <f t="shared" si="10"/>
        <v>0.038</v>
      </c>
      <c r="M42" s="61">
        <f t="shared" si="10"/>
        <v>0.033</v>
      </c>
      <c r="N42" s="61">
        <f t="shared" si="10"/>
        <v>0.033</v>
      </c>
      <c r="O42" s="61">
        <f t="shared" si="10"/>
        <v>0.027</v>
      </c>
    </row>
  </sheetData>
  <sheetProtection/>
  <mergeCells count="2">
    <mergeCell ref="R19:U19"/>
    <mergeCell ref="B28:K2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MMagalon</dc:creator>
  <cp:keywords/>
  <dc:description/>
  <cp:lastModifiedBy>Windows User</cp:lastModifiedBy>
  <cp:lastPrinted>2020-01-10T21:36:47Z</cp:lastPrinted>
  <dcterms:created xsi:type="dcterms:W3CDTF">2010-09-07T18:07:17Z</dcterms:created>
  <dcterms:modified xsi:type="dcterms:W3CDTF">2020-09-17T16:41:01Z</dcterms:modified>
  <cp:category/>
  <cp:version/>
  <cp:contentType/>
  <cp:contentStatus/>
</cp:coreProperties>
</file>